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15" windowWidth="11580" windowHeight="321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<sst xmlns="http://schemas.openxmlformats.org/spreadsheetml/2006/main" count="167" uniqueCount="120">
  <si>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</si>
  <si>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</si>
  <si>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</si>
  <si>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</si>
  <si>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</si>
  <si>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</si>
  <si>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</si>
  <si>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</si>
  <si>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</si>
  <si>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</si>
  <si>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</si>
  <si>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</si>
  <si>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</si>
  <si>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</si>
  <si>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</si>
  <si>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</si>
  <si>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</si>
  <si>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</si>
  <si>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</si>
  <si>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</si>
  <si>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</si>
  <si>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</si>
  <si>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</si>
  <si>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</si>
  <si>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</si>
  <si>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</si>
  <si>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</si>
  <si>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</si>
  <si>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</si>
  <si>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</si>
  <si>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</si>
  <si>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</si>
  <si>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</si>
  <si>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</si>
  <si>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</si>
  <si>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</si>
  <si>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</si>
  <si>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</si>
  <si>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</si>
  <si>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</si>
  <si>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</si>
  <si>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</si>
  <si>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</si>
  <si>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</si>
  <si>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</si>
  <si>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</si>
  <si>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</si>
  <si>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</si>
  <si>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</si>
  <si>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</si>
  <si>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</si>
  <si>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</si>
  <si>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</si>
  <si>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</si>
  <si>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</si>
  <si>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</si>
  <si>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</si>
  <si>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</si>
  <si>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</si>
  <si>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</si>
  <si>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</si>
  <si>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</si>
  <si>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</si>
  <si>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</si>
  <si>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</si>
  <si>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</si>
  <si>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</si>
  <si>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</si>
  <si>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</si>
  <si>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</si>
  <si>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</si>
  <si>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</si>
  <si>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</si>
  <si>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</si>
  <si>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</si>
  <si>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</si>
  <si>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</si>
  <si>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</si>
  <si>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</si>
  <si>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</si>
  <si>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</si>
  <si>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</si>
  <si>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</si>
  <si>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</si>
  <si>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</si>
  <si>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</si>
  <si>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</si>
  <si>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</si>
  <si>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</si>
  <si>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</si>
  <si>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</si>
  <si>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</si>
  <si>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</si>
  <si>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</si>
  <si>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</si>
  <si>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</si>
  <si>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</si>
  <si>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</si>
  <si>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</si>
  <si>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</si>
  <si>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</si>
  <si>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</si>
  <si>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</si>
  <si>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</si>
  <si>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</si>
  <si>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</si>
  <si>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</si>
  <si>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</si>
  <si>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</si>
  <si>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</si>
  <si>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Пільгове перевезення (170102)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</si>
  <si>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</si>
  <si>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</si>
  <si>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</si>
  <si>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</si>
  <si>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</si>
  <si>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План на 9 місяців, тис.грн.</t>
  </si>
  <si>
    <t>Відсоток виконання плану 9 місяців</t>
  </si>
  <si>
    <t>Відхилення від плану 9 місяців, тис.грн.</t>
  </si>
  <si>
    <t>Аналіз використання коштів міського бюджету за 2015 рік станом на 03.09.2015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</si>
</sst>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0.0"/>
    <numFmt numFmtId="174" formatCode="#,##0.0"/>
    <numFmt numFmtId="175" formatCode="#,##0.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32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32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32" borderId="13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/>
    </xf>
    <xf numFmtId="174" fontId="4" fillId="32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32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32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32" borderId="17" xfId="0" applyNumberFormat="1" applyFont="1" applyFill="1" applyBorder="1" applyAlignment="1">
      <alignment wrapText="1"/>
    </xf>
    <xf numFmtId="174" fontId="4" fillId="32" borderId="17" xfId="0" applyNumberFormat="1" applyFont="1" applyFill="1" applyBorder="1" applyAlignment="1">
      <alignment/>
    </xf>
    <xf numFmtId="174" fontId="4" fillId="32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32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32" borderId="16" xfId="0" applyFont="1" applyFill="1" applyBorder="1" applyAlignment="1">
      <alignment wrapText="1"/>
    </xf>
    <xf numFmtId="174" fontId="4" fillId="32" borderId="16" xfId="0" applyNumberFormat="1" applyFont="1" applyFill="1" applyBorder="1" applyAlignment="1">
      <alignment/>
    </xf>
    <xf numFmtId="173" fontId="4" fillId="32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32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 vertical="center" wrapText="1"/>
    </xf>
    <xf numFmtId="173" fontId="14" fillId="32" borderId="11" xfId="0" applyNumberFormat="1" applyFont="1" applyFill="1" applyBorder="1" applyAlignment="1">
      <alignment/>
    </xf>
    <xf numFmtId="173" fontId="4" fillId="33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32" borderId="14" xfId="0" applyNumberFormat="1" applyFont="1" applyFill="1" applyBorder="1" applyAlignment="1">
      <alignment/>
    </xf>
    <xf numFmtId="173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32" borderId="17" xfId="0" applyNumberFormat="1" applyFont="1" applyFill="1" applyBorder="1" applyAlignment="1">
      <alignment/>
    </xf>
    <xf numFmtId="173" fontId="4" fillId="32" borderId="23" xfId="0" applyNumberFormat="1" applyFont="1" applyFill="1" applyBorder="1" applyAlignment="1">
      <alignment/>
    </xf>
    <xf numFmtId="174" fontId="5" fillId="32" borderId="20" xfId="0" applyNumberFormat="1" applyFont="1" applyFill="1" applyBorder="1" applyAlignment="1">
      <alignment wrapText="1"/>
    </xf>
    <xf numFmtId="174" fontId="4" fillId="32" borderId="23" xfId="0" applyNumberFormat="1" applyFont="1" applyFill="1" applyBorder="1" applyAlignment="1">
      <alignment/>
    </xf>
    <xf numFmtId="174" fontId="4" fillId="32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33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50453.5</c:v>
                </c:pt>
                <c:pt idx="1">
                  <c:v>41320.4</c:v>
                </c:pt>
                <c:pt idx="2">
                  <c:v>2575.1</c:v>
                </c:pt>
                <c:pt idx="3">
                  <c:v>6557.999999999998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31119.699999999997</c:v>
                </c:pt>
                <c:pt idx="1">
                  <c:v>26765.000000000004</c:v>
                </c:pt>
                <c:pt idx="2">
                  <c:v>1088.9999999999998</c:v>
                </c:pt>
                <c:pt idx="3">
                  <c:v>3265.6999999999935</c:v>
                </c:pt>
              </c:numCache>
            </c:numRef>
          </c:val>
          <c:shape val="box"/>
        </c:ser>
        <c:shape val="box"/>
        <c:axId val="11793433"/>
        <c:axId val="39032034"/>
      </c:bar3DChart>
      <c:catAx>
        <c:axId val="11793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032034"/>
        <c:crosses val="autoZero"/>
        <c:auto val="1"/>
        <c:lblOffset val="100"/>
        <c:tickLblSkip val="1"/>
        <c:noMultiLvlLbl val="0"/>
      </c:catAx>
      <c:valAx>
        <c:axId val="390320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934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362773.19999999995</c:v>
                </c:pt>
                <c:pt idx="1">
                  <c:v>173936.4</c:v>
                </c:pt>
                <c:pt idx="2">
                  <c:v>275218.9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296.09999999999997</c:v>
                </c:pt>
                <c:pt idx="7">
                  <c:v>3697.4999999999404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223665.49999999997</c:v>
                </c:pt>
                <c:pt idx="1">
                  <c:v>112987.40000000002</c:v>
                </c:pt>
                <c:pt idx="2">
                  <c:v>173122.79999999996</c:v>
                </c:pt>
                <c:pt idx="3">
                  <c:v>9.700000000000001</c:v>
                </c:pt>
                <c:pt idx="4">
                  <c:v>10807.899999999998</c:v>
                </c:pt>
                <c:pt idx="5">
                  <c:v>37155.700000000004</c:v>
                </c:pt>
                <c:pt idx="6">
                  <c:v>195.49999999999997</c:v>
                </c:pt>
                <c:pt idx="7">
                  <c:v>2373.900000000016</c:v>
                </c:pt>
              </c:numCache>
            </c:numRef>
          </c:val>
          <c:shape val="box"/>
        </c:ser>
        <c:shape val="box"/>
        <c:axId val="15743987"/>
        <c:axId val="7478156"/>
      </c:bar3DChart>
      <c:catAx>
        <c:axId val="15743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478156"/>
        <c:crosses val="autoZero"/>
        <c:auto val="1"/>
        <c:lblOffset val="100"/>
        <c:tickLblSkip val="1"/>
        <c:noMultiLvlLbl val="0"/>
      </c:catAx>
      <c:valAx>
        <c:axId val="74781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439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244612.80000000002</c:v>
                </c:pt>
                <c:pt idx="1">
                  <c:v>186519.2</c:v>
                </c:pt>
                <c:pt idx="2">
                  <c:v>190875.1</c:v>
                </c:pt>
                <c:pt idx="3">
                  <c:v>12997.3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10336.000000000005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150768.09999999995</c:v>
                </c:pt>
                <c:pt idx="1">
                  <c:v>132963.80000000005</c:v>
                </c:pt>
                <c:pt idx="2">
                  <c:v>120321.19999999997</c:v>
                </c:pt>
                <c:pt idx="3">
                  <c:v>6289.499999999999</c:v>
                </c:pt>
                <c:pt idx="4">
                  <c:v>2156.7999999999997</c:v>
                </c:pt>
                <c:pt idx="5">
                  <c:v>14005.3</c:v>
                </c:pt>
                <c:pt idx="6">
                  <c:v>880.0999999999999</c:v>
                </c:pt>
                <c:pt idx="7">
                  <c:v>7115.199999999981</c:v>
                </c:pt>
              </c:numCache>
            </c:numRef>
          </c:val>
          <c:shape val="box"/>
        </c:ser>
        <c:shape val="box"/>
        <c:axId val="194541"/>
        <c:axId val="1750870"/>
      </c:bar3DChart>
      <c:catAx>
        <c:axId val="194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50870"/>
        <c:crosses val="autoZero"/>
        <c:auto val="1"/>
        <c:lblOffset val="100"/>
        <c:tickLblSkip val="1"/>
        <c:noMultiLvlLbl val="0"/>
      </c:catAx>
      <c:valAx>
        <c:axId val="17508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5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44795.899999999994</c:v>
                </c:pt>
                <c:pt idx="1">
                  <c:v>32171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9388.199999999993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28705.399999999994</c:v>
                </c:pt>
                <c:pt idx="1">
                  <c:v>20457.2</c:v>
                </c:pt>
                <c:pt idx="2">
                  <c:v>1268.2</c:v>
                </c:pt>
                <c:pt idx="3">
                  <c:v>415.1</c:v>
                </c:pt>
                <c:pt idx="4">
                  <c:v>17</c:v>
                </c:pt>
                <c:pt idx="5">
                  <c:v>6547.899999999993</c:v>
                </c:pt>
              </c:numCache>
            </c:numRef>
          </c:val>
          <c:shape val="box"/>
        </c:ser>
        <c:shape val="box"/>
        <c:axId val="15757831"/>
        <c:axId val="7602752"/>
      </c:bar3DChart>
      <c:catAx>
        <c:axId val="15757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602752"/>
        <c:crosses val="autoZero"/>
        <c:auto val="1"/>
        <c:lblOffset val="100"/>
        <c:tickLblSkip val="1"/>
        <c:noMultiLvlLbl val="0"/>
      </c:catAx>
      <c:valAx>
        <c:axId val="7602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578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14847.6</c:v>
                </c:pt>
                <c:pt idx="1">
                  <c:v>9369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8856.100000000004</c:v>
                </c:pt>
                <c:pt idx="1">
                  <c:v>5786.8</c:v>
                </c:pt>
                <c:pt idx="3">
                  <c:v>127.20000000000002</c:v>
                </c:pt>
                <c:pt idx="4">
                  <c:v>415.7000000000001</c:v>
                </c:pt>
                <c:pt idx="5">
                  <c:v>2526.4000000000037</c:v>
                </c:pt>
              </c:numCache>
            </c:numRef>
          </c:val>
          <c:shape val="box"/>
        </c:ser>
        <c:shape val="box"/>
        <c:axId val="1315905"/>
        <c:axId val="11843146"/>
      </c:bar3DChart>
      <c:catAx>
        <c:axId val="1315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843146"/>
        <c:crosses val="autoZero"/>
        <c:auto val="1"/>
        <c:lblOffset val="100"/>
        <c:tickLblSkip val="2"/>
        <c:noMultiLvlLbl val="0"/>
      </c:catAx>
      <c:valAx>
        <c:axId val="118431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59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2610.9999999999995</c:v>
                </c:pt>
                <c:pt idx="1">
                  <c:v>972.7999999999998</c:v>
                </c:pt>
                <c:pt idx="2">
                  <c:v>295.6</c:v>
                </c:pt>
                <c:pt idx="3">
                  <c:v>241.90000000000003</c:v>
                </c:pt>
                <c:pt idx="4">
                  <c:v>973.3</c:v>
                </c:pt>
                <c:pt idx="5">
                  <c:v>127.39999999999975</c:v>
                </c:pt>
              </c:numCache>
            </c:numRef>
          </c:val>
          <c:shape val="box"/>
        </c:ser>
        <c:shape val="box"/>
        <c:axId val="39479451"/>
        <c:axId val="19770740"/>
      </c:bar3DChart>
      <c:catAx>
        <c:axId val="39479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770740"/>
        <c:crosses val="autoZero"/>
        <c:auto val="1"/>
        <c:lblOffset val="100"/>
        <c:tickLblSkip val="1"/>
        <c:noMultiLvlLbl val="0"/>
      </c:catAx>
      <c:valAx>
        <c:axId val="197707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794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51368.3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38156.90000000001</c:v>
                </c:pt>
              </c:numCache>
            </c:numRef>
          </c:val>
          <c:shape val="box"/>
        </c:ser>
        <c:shape val="box"/>
        <c:axId val="43718933"/>
        <c:axId val="57926078"/>
      </c:bar3DChart>
      <c:catAx>
        <c:axId val="43718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926078"/>
        <c:crosses val="autoZero"/>
        <c:auto val="1"/>
        <c:lblOffset val="100"/>
        <c:tickLblSkip val="1"/>
        <c:noMultiLvlLbl val="0"/>
      </c:catAx>
      <c:valAx>
        <c:axId val="579260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189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362773.19999999995</c:v>
                </c:pt>
                <c:pt idx="1">
                  <c:v>244612.80000000002</c:v>
                </c:pt>
                <c:pt idx="2">
                  <c:v>44795.899999999994</c:v>
                </c:pt>
                <c:pt idx="3">
                  <c:v>14847.6</c:v>
                </c:pt>
                <c:pt idx="4">
                  <c:v>5627</c:v>
                </c:pt>
                <c:pt idx="5">
                  <c:v>50453.5</c:v>
                </c:pt>
                <c:pt idx="6">
                  <c:v>51368.3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223665.49999999997</c:v>
                </c:pt>
                <c:pt idx="1">
                  <c:v>150768.09999999995</c:v>
                </c:pt>
                <c:pt idx="2">
                  <c:v>28705.399999999994</c:v>
                </c:pt>
                <c:pt idx="3">
                  <c:v>8856.100000000004</c:v>
                </c:pt>
                <c:pt idx="4">
                  <c:v>2610.9999999999995</c:v>
                </c:pt>
                <c:pt idx="5">
                  <c:v>31119.699999999997</c:v>
                </c:pt>
                <c:pt idx="6">
                  <c:v>38156.90000000001</c:v>
                </c:pt>
              </c:numCache>
            </c:numRef>
          </c:val>
          <c:shape val="box"/>
        </c:ser>
        <c:shape val="box"/>
        <c:axId val="51572655"/>
        <c:axId val="61500712"/>
      </c:bar3DChart>
      <c:catAx>
        <c:axId val="5157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500712"/>
        <c:crosses val="autoZero"/>
        <c:auto val="1"/>
        <c:lblOffset val="100"/>
        <c:tickLblSkip val="1"/>
        <c:noMultiLvlLbl val="0"/>
      </c:catAx>
      <c:valAx>
        <c:axId val="61500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726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фінансування'!$A$146:$A$151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фінансування'!$C$146:$C$151</c:f>
              <c:numCache>
                <c:ptCount val="6"/>
                <c:pt idx="0">
                  <c:v>558041.7</c:v>
                </c:pt>
                <c:pt idx="1">
                  <c:v>99794.5</c:v>
                </c:pt>
                <c:pt idx="2">
                  <c:v>25986.7</c:v>
                </c:pt>
                <c:pt idx="3">
                  <c:v>15605.2</c:v>
                </c:pt>
                <c:pt idx="4">
                  <c:v>13124.6</c:v>
                </c:pt>
                <c:pt idx="5">
                  <c:v>255958.0000000001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фінансування'!$A$146:$A$151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фінансування'!$D$146:$D$151</c:f>
              <c:numCache>
                <c:ptCount val="6"/>
                <c:pt idx="0">
                  <c:v>352073.8</c:v>
                </c:pt>
                <c:pt idx="1">
                  <c:v>57587.99999999999</c:v>
                </c:pt>
                <c:pt idx="2">
                  <c:v>13421.199999999999</c:v>
                </c:pt>
                <c:pt idx="3">
                  <c:v>5743.2</c:v>
                </c:pt>
                <c:pt idx="4">
                  <c:v>6369.899999999999</c:v>
                </c:pt>
                <c:pt idx="5">
                  <c:v>170676.30699999988</c:v>
                </c:pt>
              </c:numCache>
            </c:numRef>
          </c:val>
          <c:shape val="box"/>
        </c:ser>
        <c:shape val="box"/>
        <c:axId val="16635497"/>
        <c:axId val="15501746"/>
      </c:bar3DChart>
      <c:catAx>
        <c:axId val="16635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501746"/>
        <c:crosses val="autoZero"/>
        <c:auto val="1"/>
        <c:lblOffset val="100"/>
        <c:tickLblSkip val="1"/>
        <c:noMultiLvlLbl val="0"/>
      </c:catAx>
      <c:valAx>
        <c:axId val="155017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354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1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119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49</v>
      </c>
      <c r="B3" s="138" t="s">
        <v>116</v>
      </c>
      <c r="C3" s="138" t="s">
        <v>102</v>
      </c>
      <c r="D3" s="138" t="s">
        <v>28</v>
      </c>
      <c r="E3" s="138" t="s">
        <v>27</v>
      </c>
      <c r="F3" s="138" t="s">
        <v>117</v>
      </c>
      <c r="G3" s="138" t="s">
        <v>103</v>
      </c>
      <c r="H3" s="138" t="s">
        <v>118</v>
      </c>
      <c r="I3" s="138" t="s">
        <v>104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33</v>
      </c>
      <c r="B6" s="52">
        <f>264426.2</f>
        <v>264426.2</v>
      </c>
      <c r="C6" s="53">
        <f>336144.8+1363.8+2002.1+1+23261.5</f>
        <v>362773.19999999995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</f>
        <v>223665.49999999997</v>
      </c>
      <c r="E6" s="3">
        <f>D6/D145*100</f>
        <v>36.91627105242969</v>
      </c>
      <c r="F6" s="3">
        <f>D6/B6*100</f>
        <v>84.58522642612569</v>
      </c>
      <c r="G6" s="3">
        <f aca="true" t="shared" si="0" ref="G6:G43">D6/C6*100</f>
        <v>61.65436145779236</v>
      </c>
      <c r="H6" s="3">
        <f>B6-D6</f>
        <v>40760.70000000004</v>
      </c>
      <c r="I6" s="3">
        <f aca="true" t="shared" si="1" ref="I6:I43">C6-D6</f>
        <v>139107.69999999998</v>
      </c>
    </row>
    <row r="7" spans="1:9" s="44" customFormat="1" ht="18.75">
      <c r="A7" s="118" t="s">
        <v>105</v>
      </c>
      <c r="B7" s="109">
        <v>132170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</f>
        <v>112987.40000000002</v>
      </c>
      <c r="E7" s="107">
        <f>D7/D6*100</f>
        <v>50.51623965251684</v>
      </c>
      <c r="F7" s="107">
        <f>D7/B7*100</f>
        <v>85.48641900582585</v>
      </c>
      <c r="G7" s="107">
        <f>D7/C7*100</f>
        <v>64.95903100213643</v>
      </c>
      <c r="H7" s="107">
        <f>B7-D7</f>
        <v>19182.599999999977</v>
      </c>
      <c r="I7" s="107">
        <f t="shared" si="1"/>
        <v>60948.99999999997</v>
      </c>
    </row>
    <row r="8" spans="1:9" ht="18">
      <c r="A8" s="29" t="s">
        <v>3</v>
      </c>
      <c r="B8" s="49">
        <f>200229.4</f>
        <v>200229.4</v>
      </c>
      <c r="C8" s="50">
        <f>251964.7+23254.2</f>
        <v>275218.9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</f>
        <v>173122.79999999996</v>
      </c>
      <c r="E8" s="1">
        <f>D8/D6*100</f>
        <v>77.402549789753</v>
      </c>
      <c r="F8" s="1">
        <f>D8/B8*100</f>
        <v>86.46222782468507</v>
      </c>
      <c r="G8" s="1">
        <f t="shared" si="0"/>
        <v>62.903674129938004</v>
      </c>
      <c r="H8" s="1">
        <f>B8-D8</f>
        <v>27106.600000000035</v>
      </c>
      <c r="I8" s="1">
        <f t="shared" si="1"/>
        <v>102096.10000000006</v>
      </c>
    </row>
    <row r="9" spans="1:9" ht="18">
      <c r="A9" s="29" t="s">
        <v>2</v>
      </c>
      <c r="B9" s="49">
        <v>35.9</v>
      </c>
      <c r="C9" s="50">
        <v>45.2</v>
      </c>
      <c r="D9" s="51">
        <f>0.3+0.2+0.7+0.8+2+0.3+3.5+1.2+0.3+0.4</f>
        <v>9.700000000000001</v>
      </c>
      <c r="E9" s="12">
        <f>D9/D6*100</f>
        <v>0.004336833351589763</v>
      </c>
      <c r="F9" s="136">
        <f>D9/B9*100</f>
        <v>27.019498607242344</v>
      </c>
      <c r="G9" s="1">
        <f t="shared" si="0"/>
        <v>21.460176991150444</v>
      </c>
      <c r="H9" s="1">
        <f aca="true" t="shared" si="2" ref="H9:H43">B9-D9</f>
        <v>26.199999999999996</v>
      </c>
      <c r="I9" s="1">
        <f t="shared" si="1"/>
        <v>35.5</v>
      </c>
    </row>
    <row r="10" spans="1:9" ht="18">
      <c r="A10" s="29" t="s">
        <v>1</v>
      </c>
      <c r="B10" s="49">
        <v>15339.7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+4.8+2.7+32.5</f>
        <v>10807.899999999998</v>
      </c>
      <c r="E10" s="1">
        <f>D10/D6*100</f>
        <v>4.832171255736803</v>
      </c>
      <c r="F10" s="1">
        <f aca="true" t="shared" si="3" ref="F10:F41">D10/B10*100</f>
        <v>70.45704935559364</v>
      </c>
      <c r="G10" s="1">
        <f t="shared" si="0"/>
        <v>48.883290516336785</v>
      </c>
      <c r="H10" s="1">
        <f t="shared" si="2"/>
        <v>4531.800000000003</v>
      </c>
      <c r="I10" s="1">
        <f t="shared" si="1"/>
        <v>11301.7</v>
      </c>
    </row>
    <row r="11" spans="1:9" ht="18">
      <c r="A11" s="29" t="s">
        <v>0</v>
      </c>
      <c r="B11" s="49">
        <v>45172.8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+18.2+1.2+4.7</f>
        <v>37155.700000000004</v>
      </c>
      <c r="E11" s="1">
        <f>D11/D6*100</f>
        <v>16.612173088831316</v>
      </c>
      <c r="F11" s="1">
        <f t="shared" si="3"/>
        <v>82.25237310948181</v>
      </c>
      <c r="G11" s="1">
        <f t="shared" si="0"/>
        <v>60.50835506034438</v>
      </c>
      <c r="H11" s="1">
        <f t="shared" si="2"/>
        <v>8017.0999999999985</v>
      </c>
      <c r="I11" s="1">
        <f t="shared" si="1"/>
        <v>24250.19999999999</v>
      </c>
    </row>
    <row r="12" spans="1:9" ht="18">
      <c r="A12" s="29" t="s">
        <v>15</v>
      </c>
      <c r="B12" s="49">
        <v>248.6</v>
      </c>
      <c r="C12" s="50">
        <f>286.2+9.9</f>
        <v>296.09999999999997</v>
      </c>
      <c r="D12" s="51">
        <f>3.8+3.8+12.7+7.4+5+16.3+3.8+110.9+3.8+1.2+5.4+9.9+1.2+1.2+9.1</f>
        <v>195.49999999999997</v>
      </c>
      <c r="E12" s="1">
        <f>D12/D6*100</f>
        <v>0.08740731136451531</v>
      </c>
      <c r="F12" s="1">
        <f t="shared" si="3"/>
        <v>78.64038616251004</v>
      </c>
      <c r="G12" s="1">
        <f t="shared" si="0"/>
        <v>66.02499155690646</v>
      </c>
      <c r="H12" s="1">
        <f t="shared" si="2"/>
        <v>53.10000000000002</v>
      </c>
      <c r="I12" s="1">
        <f t="shared" si="1"/>
        <v>100.6</v>
      </c>
    </row>
    <row r="13" spans="1:9" ht="18.75" thickBot="1">
      <c r="A13" s="29" t="s">
        <v>34</v>
      </c>
      <c r="B13" s="50">
        <f>B6-B8-B9-B10-B11-B12</f>
        <v>3399.800000000009</v>
      </c>
      <c r="C13" s="50">
        <f>C6-C8-C9-C10-C11-C12</f>
        <v>3697.4999999999404</v>
      </c>
      <c r="D13" s="50">
        <f>D6-D8-D9-D10-D11-D12</f>
        <v>2373.900000000016</v>
      </c>
      <c r="E13" s="1">
        <f>D13/D6*100</f>
        <v>1.0613617209627844</v>
      </c>
      <c r="F13" s="1">
        <f t="shared" si="3"/>
        <v>69.82469557032796</v>
      </c>
      <c r="G13" s="1">
        <f t="shared" si="0"/>
        <v>64.20283975659376</v>
      </c>
      <c r="H13" s="1">
        <f t="shared" si="2"/>
        <v>1025.8999999999928</v>
      </c>
      <c r="I13" s="1">
        <f t="shared" si="1"/>
        <v>1323.5999999999244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175932.3</f>
        <v>175932.3</v>
      </c>
      <c r="C18" s="53">
        <f>225678.2+490.7+518-0.1+17926</f>
        <v>244612.80000000002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</f>
        <v>150768.09999999995</v>
      </c>
      <c r="E18" s="3">
        <f>D18/D145*100</f>
        <v>24.884463833983446</v>
      </c>
      <c r="F18" s="3">
        <f>D18/B18*100</f>
        <v>85.69665718006299</v>
      </c>
      <c r="G18" s="3">
        <f t="shared" si="0"/>
        <v>61.63540910369365</v>
      </c>
      <c r="H18" s="3">
        <f>B18-D18</f>
        <v>25164.20000000004</v>
      </c>
      <c r="I18" s="3">
        <f t="shared" si="1"/>
        <v>93844.70000000007</v>
      </c>
    </row>
    <row r="19" spans="1:9" s="44" customFormat="1" ht="18.75">
      <c r="A19" s="118" t="s">
        <v>106</v>
      </c>
      <c r="B19" s="109">
        <v>151067.9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</f>
        <v>132963.80000000005</v>
      </c>
      <c r="E19" s="107">
        <f>D19/D18*100</f>
        <v>88.19093694223122</v>
      </c>
      <c r="F19" s="107">
        <f t="shared" si="3"/>
        <v>88.01591866968432</v>
      </c>
      <c r="G19" s="107">
        <f t="shared" si="0"/>
        <v>71.28692381266917</v>
      </c>
      <c r="H19" s="107">
        <f t="shared" si="2"/>
        <v>18104.099999999948</v>
      </c>
      <c r="I19" s="107">
        <f t="shared" si="1"/>
        <v>53555.399999999965</v>
      </c>
    </row>
    <row r="20" spans="1:9" ht="18">
      <c r="A20" s="29" t="s">
        <v>5</v>
      </c>
      <c r="B20" s="49">
        <v>139358.4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</f>
        <v>120321.19999999997</v>
      </c>
      <c r="E20" s="1">
        <f>D20/D18*100</f>
        <v>79.80547609209111</v>
      </c>
      <c r="F20" s="1">
        <f t="shared" si="3"/>
        <v>86.33939540063605</v>
      </c>
      <c r="G20" s="1">
        <f t="shared" si="0"/>
        <v>63.03661399522513</v>
      </c>
      <c r="H20" s="1">
        <f t="shared" si="2"/>
        <v>19037.200000000026</v>
      </c>
      <c r="I20" s="1">
        <f t="shared" si="1"/>
        <v>70553.90000000004</v>
      </c>
    </row>
    <row r="21" spans="1:9" ht="18">
      <c r="A21" s="29" t="s">
        <v>2</v>
      </c>
      <c r="B21" s="49">
        <v>9524.9</v>
      </c>
      <c r="C21" s="50">
        <f>12491.1+200.3+305.9</f>
        <v>12997.3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11+1.8+42.7+3+47.6+40.1+0.7+2.5+101.4-0.1+82.5+53+0.2+1536.8+83.2+0.7+12.8+1.8+77.1+0.2+37.6+299.6+50.4+17.9+245.6+224.3+1.2+312.9+1.2+314.9+3.5+3.6+128.9+182.5+0.1+23.5+30.3+658.3+3.6+8.8+69.3+15.5+197.3+4.2+5.4+0.5+219.1+48+346.4+68.2+462.1+183.9+21.9</f>
        <v>6289.499999999999</v>
      </c>
      <c r="E21" s="1">
        <f>D21/D18*100</f>
        <v>4.17163843014537</v>
      </c>
      <c r="F21" s="1">
        <f t="shared" si="3"/>
        <v>66.0321893143235</v>
      </c>
      <c r="G21" s="1">
        <f t="shared" si="0"/>
        <v>48.39081963176967</v>
      </c>
      <c r="H21" s="1">
        <f t="shared" si="2"/>
        <v>3235.4000000000005</v>
      </c>
      <c r="I21" s="1">
        <f t="shared" si="1"/>
        <v>6707.8</v>
      </c>
    </row>
    <row r="22" spans="1:9" ht="18">
      <c r="A22" s="29" t="s">
        <v>1</v>
      </c>
      <c r="B22" s="49">
        <v>2450.6</v>
      </c>
      <c r="C22" s="50">
        <v>3253.3</v>
      </c>
      <c r="D22" s="51">
        <f>173.9+19+7.6+19.5+89.8+0.1+92.4+48.6+202.1+56.1+96.9+242.1+36.1+19.2+171.7+0.1+22.2+39+81.6+82+84.2+0.1+30.3-30.3+115.9+98.3+38+4.5+18.6+10.9+19.7+48.1+4+8.7+43.6+162.2</f>
        <v>2156.7999999999997</v>
      </c>
      <c r="E22" s="1">
        <f>D22/D18*100</f>
        <v>1.430541341304958</v>
      </c>
      <c r="F22" s="1">
        <f t="shared" si="3"/>
        <v>88.01109932261485</v>
      </c>
      <c r="G22" s="1">
        <f t="shared" si="0"/>
        <v>66.29576122706175</v>
      </c>
      <c r="H22" s="1">
        <f t="shared" si="2"/>
        <v>293.8000000000002</v>
      </c>
      <c r="I22" s="1">
        <f t="shared" si="1"/>
        <v>1096.5000000000005</v>
      </c>
    </row>
    <row r="23" spans="1:9" ht="18">
      <c r="A23" s="29" t="s">
        <v>0</v>
      </c>
      <c r="B23" s="49">
        <v>15199.7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</f>
        <v>14005.3</v>
      </c>
      <c r="E23" s="1">
        <f>D23/D18*100</f>
        <v>9.2892992615812</v>
      </c>
      <c r="F23" s="1">
        <f t="shared" si="3"/>
        <v>92.14195017006914</v>
      </c>
      <c r="G23" s="1">
        <f t="shared" si="0"/>
        <v>54.65909534402685</v>
      </c>
      <c r="H23" s="1">
        <f t="shared" si="2"/>
        <v>1194.4000000000015</v>
      </c>
      <c r="I23" s="1">
        <f t="shared" si="1"/>
        <v>11617.7</v>
      </c>
    </row>
    <row r="24" spans="1:9" ht="18">
      <c r="A24" s="29" t="s">
        <v>15</v>
      </c>
      <c r="B24" s="49">
        <v>1036.5</v>
      </c>
      <c r="C24" s="50">
        <v>1528.1</v>
      </c>
      <c r="D24" s="51">
        <f>111+58.1+166.1+55.7+24.9+10.1-0.1+89.8+44.2+0.1+106.9+106.7+78.8+27.8</f>
        <v>880.0999999999999</v>
      </c>
      <c r="E24" s="1">
        <f>D24/D18*100</f>
        <v>0.5837441739996725</v>
      </c>
      <c r="F24" s="1">
        <f t="shared" si="3"/>
        <v>84.91075735648818</v>
      </c>
      <c r="G24" s="1">
        <f t="shared" si="0"/>
        <v>57.594398272364366</v>
      </c>
      <c r="H24" s="1">
        <f t="shared" si="2"/>
        <v>156.4000000000001</v>
      </c>
      <c r="I24" s="1">
        <f t="shared" si="1"/>
        <v>648</v>
      </c>
    </row>
    <row r="25" spans="1:9" ht="18.75" thickBot="1">
      <c r="A25" s="29" t="s">
        <v>34</v>
      </c>
      <c r="B25" s="50">
        <f>B18-B20-B21-B22-B23-B24</f>
        <v>8362.199999999993</v>
      </c>
      <c r="C25" s="50">
        <f>C18-C20-C21-C22-C23-C24</f>
        <v>10336.000000000005</v>
      </c>
      <c r="D25" s="50">
        <f>D18-D20-D21-D22-D23-D24</f>
        <v>7115.199999999981</v>
      </c>
      <c r="E25" s="1">
        <f>D25/D18*100</f>
        <v>4.719300700877695</v>
      </c>
      <c r="F25" s="1">
        <f t="shared" si="3"/>
        <v>85.08765635837443</v>
      </c>
      <c r="G25" s="1">
        <f t="shared" si="0"/>
        <v>68.83900928792548</v>
      </c>
      <c r="H25" s="1">
        <f t="shared" si="2"/>
        <v>1247.0000000000127</v>
      </c>
      <c r="I25" s="1">
        <f t="shared" si="1"/>
        <v>3220.8000000000247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33729.2</v>
      </c>
      <c r="C33" s="53">
        <f>41831.7+164.1+250.5+5+2544.6</f>
        <v>44795.899999999994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</f>
        <v>28705.399999999994</v>
      </c>
      <c r="E33" s="3">
        <f>D33/D145*100</f>
        <v>4.737862241018017</v>
      </c>
      <c r="F33" s="3">
        <f>D33/B33*100</f>
        <v>85.1054872336136</v>
      </c>
      <c r="G33" s="3">
        <f t="shared" si="0"/>
        <v>64.08041807397552</v>
      </c>
      <c r="H33" s="3">
        <f t="shared" si="2"/>
        <v>5023.800000000003</v>
      </c>
      <c r="I33" s="3">
        <f t="shared" si="1"/>
        <v>16090.5</v>
      </c>
    </row>
    <row r="34" spans="1:9" ht="18">
      <c r="A34" s="29" t="s">
        <v>3</v>
      </c>
      <c r="B34" s="49">
        <v>24427.9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1216.2+1064.6-0.1+1185.2+1240.8+0.1+1202.8+1206.8+1191.1+1224.7+5.8+1196.2+1414.6+52.8+4003.5+27.3+1811.7+0.1+103.5+404.5+5.7+308.6+119.4+352.5+1116.3+2.5</f>
        <v>20457.2</v>
      </c>
      <c r="E34" s="1">
        <f>D34/D33*100</f>
        <v>71.26603356859687</v>
      </c>
      <c r="F34" s="1">
        <f t="shared" si="3"/>
        <v>83.7452257459708</v>
      </c>
      <c r="G34" s="1">
        <f t="shared" si="0"/>
        <v>63.588946566783754</v>
      </c>
      <c r="H34" s="1">
        <f t="shared" si="2"/>
        <v>3970.7000000000007</v>
      </c>
      <c r="I34" s="1">
        <f t="shared" si="1"/>
        <v>11713.8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1665.7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</f>
        <v>1268.2</v>
      </c>
      <c r="E36" s="1">
        <f>D36/D33*100</f>
        <v>4.41798407268319</v>
      </c>
      <c r="F36" s="1">
        <f t="shared" si="3"/>
        <v>76.13615897220389</v>
      </c>
      <c r="G36" s="1">
        <f t="shared" si="0"/>
        <v>47.42707554225879</v>
      </c>
      <c r="H36" s="1">
        <f t="shared" si="2"/>
        <v>397.5</v>
      </c>
      <c r="I36" s="1">
        <f t="shared" si="1"/>
        <v>1405.8</v>
      </c>
    </row>
    <row r="37" spans="1:9" s="44" customFormat="1" ht="18.75">
      <c r="A37" s="23" t="s">
        <v>7</v>
      </c>
      <c r="B37" s="58">
        <v>477.3</v>
      </c>
      <c r="C37" s="59">
        <f>493.5+22</f>
        <v>515.5</v>
      </c>
      <c r="D37" s="60">
        <f>19+12.3+0.1+11.9+3.2+10.7+22.4+14.8+37.3+30.8+8.3+7.2+2+25.1+13.4+51+75.3+5+2.8+24.5+38</f>
        <v>415.1</v>
      </c>
      <c r="E37" s="19">
        <f>D37/D33*100</f>
        <v>1.44606938067402</v>
      </c>
      <c r="F37" s="19">
        <f t="shared" si="3"/>
        <v>86.96836371254976</v>
      </c>
      <c r="G37" s="19">
        <f t="shared" si="0"/>
        <v>80.52376333656645</v>
      </c>
      <c r="H37" s="19">
        <f t="shared" si="2"/>
        <v>62.19999999999999</v>
      </c>
      <c r="I37" s="19">
        <f t="shared" si="1"/>
        <v>100.39999999999998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0.059222306604332295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34</v>
      </c>
      <c r="B39" s="49">
        <f>B33-B34-B36-B37-B35-B38</f>
        <v>7121.299999999996</v>
      </c>
      <c r="C39" s="49">
        <f>C33-C34-C36-C37-C35-C38</f>
        <v>9388.199999999993</v>
      </c>
      <c r="D39" s="49">
        <f>D33-D34-D36-D37-D35-D38</f>
        <v>6547.899999999993</v>
      </c>
      <c r="E39" s="1">
        <f>D39/D33*100</f>
        <v>22.81069067144159</v>
      </c>
      <c r="F39" s="1">
        <f t="shared" si="3"/>
        <v>91.94809936388015</v>
      </c>
      <c r="G39" s="1">
        <f t="shared" si="0"/>
        <v>69.74606420826142</v>
      </c>
      <c r="H39" s="1">
        <f>B39-D39</f>
        <v>573.4000000000024</v>
      </c>
      <c r="I39" s="1">
        <f t="shared" si="1"/>
        <v>2840.3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622.6</v>
      </c>
      <c r="C43" s="53">
        <f>768.4+32.5+15+3</f>
        <v>818.9</v>
      </c>
      <c r="D43" s="54">
        <f>17.7+12.2+11.2+51.1+0.8+30+0.1+18.9+27.3+43.7+9+5.4+5.6+7.8+24.4+6.4-0.1+26.1+70.2+6+6+27.3+26.1+5.1+3+1+25.2+2+11+3.6+29+1+5</f>
        <v>519.1</v>
      </c>
      <c r="E43" s="3">
        <f>D43/D145*100</f>
        <v>0.08567810548929654</v>
      </c>
      <c r="F43" s="3">
        <f>D43/B43*100</f>
        <v>83.37616447157083</v>
      </c>
      <c r="G43" s="3">
        <f t="shared" si="0"/>
        <v>63.38991329832703</v>
      </c>
      <c r="H43" s="3">
        <f t="shared" si="2"/>
        <v>103.5</v>
      </c>
      <c r="I43" s="3">
        <f t="shared" si="1"/>
        <v>299.79999999999995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v>5324.1</v>
      </c>
      <c r="C45" s="53">
        <f>6659.3+87.1+1.5+764.6</f>
        <v>7512.500000000001</v>
      </c>
      <c r="D45" s="54">
        <f>193+223+8.7+101.1+200.9+9+241+299.2+7.6+43.6+283.1+0.8+48.7+276.1+3.4+2.2+253.5+5+282+1.9+4.8+3.2+261.3+0.5+265.1+0.7+6.9+276.6+1.6+124.9+209.3+1.9+2.9+4.7+268.2+52.2+128+106.4+2.5+2.2+206.7+137.5</f>
        <v>4551.899999999999</v>
      </c>
      <c r="E45" s="3">
        <f>D45/D145*100</f>
        <v>0.7512967990304928</v>
      </c>
      <c r="F45" s="3">
        <f>D45/B45*100</f>
        <v>85.4961401927086</v>
      </c>
      <c r="G45" s="3">
        <f aca="true" t="shared" si="4" ref="G45:G75">D45/C45*100</f>
        <v>60.59101497504157</v>
      </c>
      <c r="H45" s="3">
        <f>B45-D45</f>
        <v>772.2000000000016</v>
      </c>
      <c r="I45" s="3">
        <f aca="true" t="shared" si="5" ref="I45:I76">C45-D45</f>
        <v>2960.600000000002</v>
      </c>
    </row>
    <row r="46" spans="1:9" ht="18">
      <c r="A46" s="29" t="s">
        <v>3</v>
      </c>
      <c r="B46" s="49">
        <v>4648.9</v>
      </c>
      <c r="C46" s="50">
        <f>5755.9+764.6</f>
        <v>6520.5</v>
      </c>
      <c r="D46" s="51">
        <f>193+222.7+1.6+196.4+240.9+0.1+199.7+265.9+214+253.1+238.6+255.9+243.9+273.5+83.6+206+267.9+52.2+106.2+102.2+205.5+137.5</f>
        <v>3960.3999999999996</v>
      </c>
      <c r="E46" s="1">
        <f>D46/D45*100</f>
        <v>87.00542630549883</v>
      </c>
      <c r="F46" s="1">
        <f aca="true" t="shared" si="6" ref="F46:F73">D46/B46*100</f>
        <v>85.19004495687152</v>
      </c>
      <c r="G46" s="1">
        <f t="shared" si="4"/>
        <v>60.737673491296675</v>
      </c>
      <c r="H46" s="1">
        <f aca="true" t="shared" si="7" ref="H46:H73">B46-D46</f>
        <v>688.5</v>
      </c>
      <c r="I46" s="1">
        <f t="shared" si="5"/>
        <v>2560.1000000000004</v>
      </c>
    </row>
    <row r="47" spans="1:9" ht="18">
      <c r="A47" s="29" t="s">
        <v>2</v>
      </c>
      <c r="B47" s="49">
        <v>1</v>
      </c>
      <c r="C47" s="50">
        <v>1.2</v>
      </c>
      <c r="D47" s="51">
        <f>0.3+0.4</f>
        <v>0.7</v>
      </c>
      <c r="E47" s="1">
        <f>D47/D45*100</f>
        <v>0.015378193721303194</v>
      </c>
      <c r="F47" s="1">
        <f t="shared" si="6"/>
        <v>70</v>
      </c>
      <c r="G47" s="1">
        <f t="shared" si="4"/>
        <v>58.333333333333336</v>
      </c>
      <c r="H47" s="1">
        <f t="shared" si="7"/>
        <v>0.30000000000000004</v>
      </c>
      <c r="I47" s="1">
        <f t="shared" si="5"/>
        <v>0.5</v>
      </c>
    </row>
    <row r="48" spans="1:9" ht="18">
      <c r="A48" s="29" t="s">
        <v>1</v>
      </c>
      <c r="B48" s="49">
        <v>41.5</v>
      </c>
      <c r="C48" s="50">
        <v>60.2</v>
      </c>
      <c r="D48" s="51">
        <f>3.8+1+5.7-0.1+1.3+4.1-0.1+4.6+1.1+4.8+5.5+2</f>
        <v>33.7</v>
      </c>
      <c r="E48" s="1">
        <f>D48/D45*100</f>
        <v>0.7403501834398825</v>
      </c>
      <c r="F48" s="1">
        <f t="shared" si="6"/>
        <v>81.20481927710844</v>
      </c>
      <c r="G48" s="1">
        <f t="shared" si="4"/>
        <v>55.98006644518273</v>
      </c>
      <c r="H48" s="1">
        <f t="shared" si="7"/>
        <v>7.799999999999997</v>
      </c>
      <c r="I48" s="1">
        <f t="shared" si="5"/>
        <v>26.5</v>
      </c>
    </row>
    <row r="49" spans="1:9" ht="18">
      <c r="A49" s="29" t="s">
        <v>0</v>
      </c>
      <c r="B49" s="49">
        <v>323.2</v>
      </c>
      <c r="C49" s="50">
        <v>538.3</v>
      </c>
      <c r="D49" s="51">
        <f>4.7+90.3+4.8+67.1+3.1+1.1+45.6+36.3+2.7+2+0.1+34.4+3.4+0.5+2.5+1.1+0.5+0.5+1.4+1.1+0.5+1.9+0.9</f>
        <v>306.4999999999999</v>
      </c>
      <c r="E49" s="1">
        <f>D49/D45*100</f>
        <v>6.733451965113469</v>
      </c>
      <c r="F49" s="1">
        <f t="shared" si="6"/>
        <v>94.83292079207918</v>
      </c>
      <c r="G49" s="1">
        <f t="shared" si="4"/>
        <v>56.93851012446589</v>
      </c>
      <c r="H49" s="1">
        <f t="shared" si="7"/>
        <v>16.700000000000102</v>
      </c>
      <c r="I49" s="1">
        <f t="shared" si="5"/>
        <v>231.80000000000007</v>
      </c>
    </row>
    <row r="50" spans="1:9" ht="18.75" thickBot="1">
      <c r="A50" s="29" t="s">
        <v>34</v>
      </c>
      <c r="B50" s="50">
        <f>B45-B46-B49-B48-B47</f>
        <v>309.50000000000074</v>
      </c>
      <c r="C50" s="50">
        <f>C45-C46-C49-C48-C47</f>
        <v>392.300000000001</v>
      </c>
      <c r="D50" s="50">
        <f>D45-D46-D49-D48-D47</f>
        <v>250.59999999999923</v>
      </c>
      <c r="E50" s="1">
        <f>D50/D45*100</f>
        <v>5.505393352226527</v>
      </c>
      <c r="F50" s="1">
        <f t="shared" si="6"/>
        <v>80.96930533117887</v>
      </c>
      <c r="G50" s="1">
        <f t="shared" si="4"/>
        <v>63.879683915370535</v>
      </c>
      <c r="H50" s="1">
        <f t="shared" si="7"/>
        <v>58.90000000000151</v>
      </c>
      <c r="I50" s="1">
        <f t="shared" si="5"/>
        <v>141.70000000000175</v>
      </c>
    </row>
    <row r="51" spans="1:9" ht="18.75" thickBot="1">
      <c r="A51" s="28" t="s">
        <v>4</v>
      </c>
      <c r="B51" s="52">
        <v>10803.3</v>
      </c>
      <c r="C51" s="53">
        <f>13881+326.7+639.9</f>
        <v>14847.6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</f>
        <v>8856.100000000004</v>
      </c>
      <c r="E51" s="3">
        <f>D51/D145*100</f>
        <v>1.4617104026656895</v>
      </c>
      <c r="F51" s="3">
        <f>D51/B51*100</f>
        <v>81.97587774106064</v>
      </c>
      <c r="G51" s="3">
        <f t="shared" si="4"/>
        <v>59.64667690401145</v>
      </c>
      <c r="H51" s="3">
        <f>B51-D51</f>
        <v>1947.1999999999953</v>
      </c>
      <c r="I51" s="3">
        <f t="shared" si="5"/>
        <v>5991.499999999996</v>
      </c>
    </row>
    <row r="52" spans="1:9" ht="18">
      <c r="A52" s="29" t="s">
        <v>3</v>
      </c>
      <c r="B52" s="49">
        <v>6690.7</v>
      </c>
      <c r="C52" s="50">
        <f>8729.1+639.9</f>
        <v>9369</v>
      </c>
      <c r="D52" s="51">
        <f>260.4+390.2+0.1+271.7+395.7-0.1+282.9+391.4+0.1+7.8+263.9+397.2+272.6+486-0.1+358+766.6-0.1+295.1+13.6+394.1+219.2+320.5</f>
        <v>5786.8</v>
      </c>
      <c r="E52" s="1">
        <f>D52/D51*100</f>
        <v>65.3425322658958</v>
      </c>
      <c r="F52" s="1">
        <f t="shared" si="6"/>
        <v>86.49020281883809</v>
      </c>
      <c r="G52" s="1">
        <f t="shared" si="4"/>
        <v>61.76539652043975</v>
      </c>
      <c r="H52" s="1">
        <f t="shared" si="7"/>
        <v>903.8999999999996</v>
      </c>
      <c r="I52" s="1">
        <f t="shared" si="5"/>
        <v>3582.2</v>
      </c>
    </row>
    <row r="53" spans="1:9" ht="18">
      <c r="A53" s="29" t="s">
        <v>2</v>
      </c>
      <c r="B53" s="49">
        <v>4.3</v>
      </c>
      <c r="C53" s="50">
        <v>10.9</v>
      </c>
      <c r="D53" s="51"/>
      <c r="E53" s="1">
        <f>D53/D51*100</f>
        <v>0</v>
      </c>
      <c r="F53" s="116">
        <f t="shared" si="6"/>
        <v>0</v>
      </c>
      <c r="G53" s="1">
        <f t="shared" si="4"/>
        <v>0</v>
      </c>
      <c r="H53" s="1">
        <f t="shared" si="7"/>
        <v>4.3</v>
      </c>
      <c r="I53" s="1">
        <f t="shared" si="5"/>
        <v>10.9</v>
      </c>
    </row>
    <row r="54" spans="1:9" ht="18">
      <c r="A54" s="29" t="s">
        <v>1</v>
      </c>
      <c r="B54" s="49">
        <v>186.1</v>
      </c>
      <c r="C54" s="50">
        <f>189.7+74</f>
        <v>263.7</v>
      </c>
      <c r="D54" s="51">
        <f>1.7+1.5+4.6+9.7+8-0.1+0.1+5.9+12.1+0.1+17.6+12.8+4+10.7+8.4+14.1+1.9+4.9+0.7+2.4+2.3+3.8</f>
        <v>127.20000000000002</v>
      </c>
      <c r="E54" s="1">
        <f>D54/D51*100</f>
        <v>1.4362981447815626</v>
      </c>
      <c r="F54" s="1">
        <f t="shared" si="6"/>
        <v>68.35034927458356</v>
      </c>
      <c r="G54" s="1">
        <f t="shared" si="4"/>
        <v>48.23663253697384</v>
      </c>
      <c r="H54" s="1">
        <f t="shared" si="7"/>
        <v>58.89999999999998</v>
      </c>
      <c r="I54" s="1">
        <f t="shared" si="5"/>
        <v>136.49999999999997</v>
      </c>
    </row>
    <row r="55" spans="1:9" ht="18">
      <c r="A55" s="29" t="s">
        <v>0</v>
      </c>
      <c r="B55" s="49">
        <v>444.5</v>
      </c>
      <c r="C55" s="50">
        <f>709.9+0.6</f>
        <v>710.5</v>
      </c>
      <c r="D55" s="51">
        <f>1.1+7.6+5.9+0.3+0.2+6.8+0.3+67.1+16.4-0.1+19.5+19.3+76.2+4.5+12.1+86.4+1+0.1+7.3+44.6+0.6+0.7+4.7+3.3+0.6+3.6+2.4+6.1+0.1+1.4+1.4+0.4+0.1+0.5+4.8+1.4+0.3+5.7+0.1+0.9</f>
        <v>415.7000000000001</v>
      </c>
      <c r="E55" s="1">
        <f>D55/D51*100</f>
        <v>4.693939770327796</v>
      </c>
      <c r="F55" s="1">
        <f t="shared" si="6"/>
        <v>93.52080989876268</v>
      </c>
      <c r="G55" s="1">
        <f t="shared" si="4"/>
        <v>58.50809289232936</v>
      </c>
      <c r="H55" s="1">
        <f t="shared" si="7"/>
        <v>28.799999999999898</v>
      </c>
      <c r="I55" s="1">
        <f t="shared" si="5"/>
        <v>294.7999999999999</v>
      </c>
    </row>
    <row r="56" spans="1:9" ht="18.75" thickBot="1">
      <c r="A56" s="29" t="s">
        <v>34</v>
      </c>
      <c r="B56" s="50">
        <f>B51-B52-B55-B54-B53</f>
        <v>3477.6999999999994</v>
      </c>
      <c r="C56" s="50">
        <f>C51-C52-C55-C54-C53</f>
        <v>4493.500000000001</v>
      </c>
      <c r="D56" s="50">
        <f>D51-D52-D55-D54-D53</f>
        <v>2526.4000000000037</v>
      </c>
      <c r="E56" s="1">
        <f>D56/D51*100</f>
        <v>28.527229818994847</v>
      </c>
      <c r="F56" s="1">
        <f t="shared" si="6"/>
        <v>72.6457141214022</v>
      </c>
      <c r="G56" s="1">
        <f t="shared" si="4"/>
        <v>56.22343384889291</v>
      </c>
      <c r="H56" s="1">
        <f t="shared" si="7"/>
        <v>951.2999999999956</v>
      </c>
      <c r="I56" s="1">
        <f>C56-D56</f>
        <v>1967.0999999999972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4027.6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36.1+65.6+6.5+0.4+1.3+60.3+3+39.2+0.1+14.1+69.1+5.2-0.1+1.8+81+43+6.1+66+42.4+63.1+71.4+46.8+10.3+27.4+2.3+82.5+2.8+0.1+44.9+0.6+7.5+171.3-0.1+367.2+95.8+11.5+311.3+2+93.8+64.9+129.4+50.3+170.3+51.7+1.1+3.7+105.6+80.3+0.1</f>
        <v>2610.9999999999995</v>
      </c>
      <c r="E58" s="3">
        <f>D58/D145*100</f>
        <v>0.43094882186968453</v>
      </c>
      <c r="F58" s="3">
        <f>D58/B58*100</f>
        <v>64.82768894627073</v>
      </c>
      <c r="G58" s="3">
        <f t="shared" si="4"/>
        <v>46.40127954505064</v>
      </c>
      <c r="H58" s="3">
        <f>B58-D58</f>
        <v>1416.6000000000004</v>
      </c>
      <c r="I58" s="3">
        <f t="shared" si="5"/>
        <v>3016.0000000000005</v>
      </c>
    </row>
    <row r="59" spans="1:9" ht="18">
      <c r="A59" s="29" t="s">
        <v>3</v>
      </c>
      <c r="B59" s="49">
        <v>1155.8</v>
      </c>
      <c r="C59" s="50">
        <f>1426.1+141.2</f>
        <v>1567.3</v>
      </c>
      <c r="D59" s="51">
        <f>36.1+65.6+39.2+69.1+1.8+43+66+41.2+71.4+46.8+1.2+82.5+0.1+44.9+89.3+53.8+64.9+50.3+105.6</f>
        <v>972.7999999999998</v>
      </c>
      <c r="E59" s="1">
        <f>D59/D58*100</f>
        <v>37.25775564917656</v>
      </c>
      <c r="F59" s="1">
        <f t="shared" si="6"/>
        <v>84.16681086693198</v>
      </c>
      <c r="G59" s="1">
        <f t="shared" si="4"/>
        <v>62.068525489695645</v>
      </c>
      <c r="H59" s="1">
        <f t="shared" si="7"/>
        <v>183.0000000000001</v>
      </c>
      <c r="I59" s="1">
        <f t="shared" si="5"/>
        <v>594.5000000000001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82+25+0.2+76.4+51.7+60.3</f>
        <v>295.6</v>
      </c>
      <c r="E60" s="1">
        <f>D60/D58*100</f>
        <v>11.321332822673307</v>
      </c>
      <c r="F60" s="1">
        <f>D60/B60*100</f>
        <v>98.56618872957654</v>
      </c>
      <c r="G60" s="1">
        <f t="shared" si="4"/>
        <v>98.56618872957654</v>
      </c>
      <c r="H60" s="1">
        <f t="shared" si="7"/>
        <v>4.2999999999999545</v>
      </c>
      <c r="I60" s="1">
        <f t="shared" si="5"/>
        <v>4.2999999999999545</v>
      </c>
    </row>
    <row r="61" spans="1:9" ht="18">
      <c r="A61" s="29" t="s">
        <v>0</v>
      </c>
      <c r="B61" s="49">
        <v>296.7</v>
      </c>
      <c r="C61" s="50">
        <f>420.8+44</f>
        <v>464.8</v>
      </c>
      <c r="D61" s="51">
        <f>1.3+56.1+4.9+63.5+3.5+0.7+63-0.1+10.3+25.7+2.8+0.3+7.3+0.2+1+0.1+0.3+1</f>
        <v>241.90000000000003</v>
      </c>
      <c r="E61" s="1">
        <f>D61/D58*100</f>
        <v>9.26464955955573</v>
      </c>
      <c r="F61" s="1">
        <f t="shared" si="6"/>
        <v>81.53016514998316</v>
      </c>
      <c r="G61" s="1">
        <f t="shared" si="4"/>
        <v>52.04388984509467</v>
      </c>
      <c r="H61" s="1">
        <f t="shared" si="7"/>
        <v>54.799999999999955</v>
      </c>
      <c r="I61" s="1">
        <f t="shared" si="5"/>
        <v>222.89999999999998</v>
      </c>
    </row>
    <row r="62" spans="1:9" ht="18">
      <c r="A62" s="29" t="s">
        <v>15</v>
      </c>
      <c r="B62" s="49">
        <f>2128.9-39.2</f>
        <v>2089.7000000000003</v>
      </c>
      <c r="C62" s="50">
        <f>728.9+2400-39.2</f>
        <v>3089.7000000000003</v>
      </c>
      <c r="D62" s="51">
        <f>367.2+308.5+129.4+168.2</f>
        <v>973.3</v>
      </c>
      <c r="E62" s="1">
        <f>D62/D58*100</f>
        <v>37.2769054002298</v>
      </c>
      <c r="F62" s="1">
        <f>D62/B62*100</f>
        <v>46.57606354979183</v>
      </c>
      <c r="G62" s="1">
        <f t="shared" si="4"/>
        <v>31.501440269281805</v>
      </c>
      <c r="H62" s="1">
        <f t="shared" si="7"/>
        <v>1116.4000000000003</v>
      </c>
      <c r="I62" s="1">
        <f t="shared" si="5"/>
        <v>2116.4000000000005</v>
      </c>
    </row>
    <row r="63" spans="1:9" ht="18.75" thickBot="1">
      <c r="A63" s="29" t="s">
        <v>34</v>
      </c>
      <c r="B63" s="50">
        <f>B58-B59-B61-B62-B60</f>
        <v>185.5000000000001</v>
      </c>
      <c r="C63" s="50">
        <f>C58-C59-C61-C62-C60</f>
        <v>205.2999999999994</v>
      </c>
      <c r="D63" s="50">
        <f>D58-D59-D61-D62-D60</f>
        <v>127.39999999999975</v>
      </c>
      <c r="E63" s="1">
        <f>D63/D58*100</f>
        <v>4.879356568364603</v>
      </c>
      <c r="F63" s="1">
        <f t="shared" si="6"/>
        <v>68.67924528301869</v>
      </c>
      <c r="G63" s="1">
        <f t="shared" si="4"/>
        <v>62.05552849488559</v>
      </c>
      <c r="H63" s="1">
        <f t="shared" si="7"/>
        <v>58.100000000000364</v>
      </c>
      <c r="I63" s="1">
        <f t="shared" si="5"/>
        <v>77.89999999999964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349.70000000000005</v>
      </c>
      <c r="C68" s="53">
        <f>C69+C70</f>
        <v>405.6</v>
      </c>
      <c r="D68" s="54">
        <f>SUM(D69:D70)</f>
        <v>245.39999999999998</v>
      </c>
      <c r="E68" s="42">
        <f>D68/D145*100</f>
        <v>0.040503577513144616</v>
      </c>
      <c r="F68" s="111">
        <f>D68/B68*100</f>
        <v>70.17443523019729</v>
      </c>
      <c r="G68" s="3">
        <f t="shared" si="4"/>
        <v>60.50295857988165</v>
      </c>
      <c r="H68" s="3">
        <f>B68-D68</f>
        <v>104.30000000000007</v>
      </c>
      <c r="I68" s="3">
        <f t="shared" si="5"/>
        <v>160.20000000000005</v>
      </c>
    </row>
    <row r="69" spans="1:9" ht="18">
      <c r="A69" s="29" t="s">
        <v>8</v>
      </c>
      <c r="B69" s="49">
        <v>242.8</v>
      </c>
      <c r="C69" s="50">
        <f>250.3-5</f>
        <v>245.3</v>
      </c>
      <c r="D69" s="51">
        <f>0.2+12.6+73.3+85.8+22+1.3+2.3+2.7+1.6+2.5+7.9-0.2+3.6+5.1+14.9+0.1+2.1</f>
        <v>237.79999999999998</v>
      </c>
      <c r="E69" s="1">
        <f>D69/D68*100</f>
        <v>96.90301548492258</v>
      </c>
      <c r="F69" s="1">
        <f t="shared" si="6"/>
        <v>97.94069192751235</v>
      </c>
      <c r="G69" s="1">
        <f t="shared" si="4"/>
        <v>96.94251936404402</v>
      </c>
      <c r="H69" s="1">
        <f t="shared" si="7"/>
        <v>5.000000000000028</v>
      </c>
      <c r="I69" s="1">
        <f t="shared" si="5"/>
        <v>7.500000000000028</v>
      </c>
    </row>
    <row r="70" spans="1:9" ht="18.75" thickBot="1">
      <c r="A70" s="29" t="s">
        <v>9</v>
      </c>
      <c r="B70" s="49">
        <v>106.9</v>
      </c>
      <c r="C70" s="50">
        <f>242.8-42.9-28.6-11</f>
        <v>160.3</v>
      </c>
      <c r="D70" s="51">
        <f>7.4+0.2</f>
        <v>7.6000000000000005</v>
      </c>
      <c r="E70" s="1">
        <f>D70/D69*100</f>
        <v>3.1959629941127</v>
      </c>
      <c r="F70" s="1">
        <f t="shared" si="6"/>
        <v>7.109448082319925</v>
      </c>
      <c r="G70" s="1">
        <f t="shared" si="4"/>
        <v>4.741110417966313</v>
      </c>
      <c r="H70" s="1">
        <f t="shared" si="7"/>
        <v>99.30000000000001</v>
      </c>
      <c r="I70" s="1">
        <f t="shared" si="5"/>
        <v>152.70000000000002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D71/D145*100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204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204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D78/D145*100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D83/D145*100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D86/D145*100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37262.4</v>
      </c>
      <c r="C89" s="53">
        <f>47925.9+539.6+110+168.6+27+1682.4</f>
        <v>50453.5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+34.9+31.2+22.2+25.9+58.1+9+8.4+986.9+517+364.4+2.9+0.1-0.2+181.2+104.5+116.1+28.1+45.5+8.6+854.5+206.9+164.5+41.5+8.6+9.7+28.6+17.2+38.8-3+188.6+1377.8+500.9+45.9+16.5+59.9+26.5</f>
        <v>31119.699999999997</v>
      </c>
      <c r="E89" s="3">
        <f>D89/D145*100</f>
        <v>5.136345481401004</v>
      </c>
      <c r="F89" s="3">
        <f aca="true" t="shared" si="10" ref="F89:F95">D89/B89*100</f>
        <v>83.51501781957145</v>
      </c>
      <c r="G89" s="3">
        <f t="shared" si="8"/>
        <v>61.67996273796663</v>
      </c>
      <c r="H89" s="3">
        <f aca="true" t="shared" si="11" ref="H89:H95">B89-D89</f>
        <v>6142.700000000004</v>
      </c>
      <c r="I89" s="3">
        <f t="shared" si="9"/>
        <v>19333.800000000003</v>
      </c>
    </row>
    <row r="90" spans="1:9" ht="18">
      <c r="A90" s="29" t="s">
        <v>3</v>
      </c>
      <c r="B90" s="49">
        <v>30669.9</v>
      </c>
      <c r="C90" s="50">
        <f>39638+1682.4</f>
        <v>41320.4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</f>
        <v>26765.000000000004</v>
      </c>
      <c r="E90" s="1">
        <f>D90/D89*100</f>
        <v>86.00661317429154</v>
      </c>
      <c r="F90" s="1">
        <f t="shared" si="10"/>
        <v>87.2679728332991</v>
      </c>
      <c r="G90" s="1">
        <f t="shared" si="8"/>
        <v>64.77430034559202</v>
      </c>
      <c r="H90" s="1">
        <f t="shared" si="11"/>
        <v>3904.899999999998</v>
      </c>
      <c r="I90" s="1">
        <f t="shared" si="9"/>
        <v>14555.399999999998</v>
      </c>
    </row>
    <row r="91" spans="1:9" ht="18">
      <c r="A91" s="29" t="s">
        <v>32</v>
      </c>
      <c r="B91" s="49">
        <v>1511.3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</f>
        <v>1088.9999999999998</v>
      </c>
      <c r="E91" s="1">
        <f>D91/D89*100</f>
        <v>3.499391060967811</v>
      </c>
      <c r="F91" s="1">
        <f t="shared" si="10"/>
        <v>72.05716932442266</v>
      </c>
      <c r="G91" s="1">
        <f t="shared" si="8"/>
        <v>42.289619820589486</v>
      </c>
      <c r="H91" s="1">
        <f t="shared" si="11"/>
        <v>422.3000000000002</v>
      </c>
      <c r="I91" s="1">
        <f t="shared" si="9"/>
        <v>1486.1000000000001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5081.2</v>
      </c>
      <c r="C93" s="50">
        <f>C89-C90-C91-C92</f>
        <v>6557.999999999998</v>
      </c>
      <c r="D93" s="50">
        <f>D89-D90-D91-D92</f>
        <v>3265.6999999999935</v>
      </c>
      <c r="E93" s="1">
        <f>D93/D89*100</f>
        <v>10.493995764740642</v>
      </c>
      <c r="F93" s="1">
        <f t="shared" si="10"/>
        <v>64.27025112178212</v>
      </c>
      <c r="G93" s="1">
        <f>D93/C93*100</f>
        <v>49.797194266544594</v>
      </c>
      <c r="H93" s="1">
        <f t="shared" si="11"/>
        <v>1815.5000000000064</v>
      </c>
      <c r="I93" s="1">
        <f>C93-D93</f>
        <v>3292.3000000000047</v>
      </c>
    </row>
    <row r="94" spans="1:9" ht="18.75">
      <c r="A94" s="122" t="s">
        <v>12</v>
      </c>
      <c r="B94" s="127">
        <v>41259.6</v>
      </c>
      <c r="C94" s="129">
        <f>48638.3+1900-424+424+830</f>
        <v>51368.3</v>
      </c>
      <c r="D94" s="128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</f>
        <v>38156.90000000001</v>
      </c>
      <c r="E94" s="121">
        <f>D94/D145*100</f>
        <v>6.2978441597852814</v>
      </c>
      <c r="F94" s="125">
        <f t="shared" si="10"/>
        <v>92.48005312702986</v>
      </c>
      <c r="G94" s="120">
        <f>D94/C94*100</f>
        <v>74.2810254573346</v>
      </c>
      <c r="H94" s="126">
        <f t="shared" si="11"/>
        <v>3102.69999999999</v>
      </c>
      <c r="I94" s="121">
        <f>C94-D94</f>
        <v>13211.399999999994</v>
      </c>
    </row>
    <row r="95" spans="1:9" ht="18.75" thickBot="1">
      <c r="A95" s="123" t="s">
        <v>107</v>
      </c>
      <c r="B95" s="130">
        <v>3647</v>
      </c>
      <c r="C95" s="131">
        <f>4853.7+35</f>
        <v>4888.7</v>
      </c>
      <c r="D95" s="132">
        <f>600+69+9+48.5+2.5+299.7+50.5+190.4+1.3+10.6+6.7+53.3-0.1+0.9+266.8+7.4+4.8+52.9+0.1+200.2+15.7+7.1+5.9+55+13+150.2+100.5+23.9+52.6+56+166.1+18.9+16.3+57</f>
        <v>2612.7000000000003</v>
      </c>
      <c r="E95" s="133">
        <f>D95/D94*100</f>
        <v>6.847254362906839</v>
      </c>
      <c r="F95" s="134">
        <f t="shared" si="10"/>
        <v>71.6397038661914</v>
      </c>
      <c r="G95" s="135">
        <f>D95/C95*100</f>
        <v>53.4436557776096</v>
      </c>
      <c r="H95" s="124">
        <f t="shared" si="11"/>
        <v>1034.2999999999997</v>
      </c>
      <c r="I95" s="96">
        <f>C95-D95</f>
        <v>2275.9999999999995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D97/D145*100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D99/D145*100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7361.1</v>
      </c>
      <c r="C101" s="104">
        <f>6061.2+4589.8-16.4-3.1+0.1-234+3.8+1279.4</f>
        <v>11680.8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</f>
        <v>4080.3069999999993</v>
      </c>
      <c r="E101" s="25">
        <f>D101/D145*100</f>
        <v>0.6734597834226836</v>
      </c>
      <c r="F101" s="25">
        <f>D101/B101*100</f>
        <v>55.43066932931219</v>
      </c>
      <c r="G101" s="25">
        <f aca="true" t="shared" si="12" ref="G101:G143">D101/C101*100</f>
        <v>34.93174268885693</v>
      </c>
      <c r="H101" s="25">
        <f aca="true" t="shared" si="13" ref="H101:H106">B101-D101</f>
        <v>3280.793000000001</v>
      </c>
      <c r="I101" s="25">
        <f aca="true" t="shared" si="14" ref="I101:I143">C101-D101</f>
        <v>7600.493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v>6357.2</v>
      </c>
      <c r="C103" s="51">
        <f>5036.9+4586-16.4-3.1+0.1-234-4.8+1279.4</f>
        <v>10644.1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</f>
        <v>3677.3</v>
      </c>
      <c r="E103" s="1">
        <f>D103/D101*100</f>
        <v>90.12312063773635</v>
      </c>
      <c r="F103" s="1">
        <f aca="true" t="shared" si="15" ref="F103:F143">D103/B103*100</f>
        <v>57.84464858742842</v>
      </c>
      <c r="G103" s="1">
        <f t="shared" si="12"/>
        <v>34.54777764207401</v>
      </c>
      <c r="H103" s="1">
        <f t="shared" si="13"/>
        <v>2679.8999999999996</v>
      </c>
      <c r="I103" s="1">
        <f t="shared" si="14"/>
        <v>6966.8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1003.9000000000005</v>
      </c>
      <c r="C105" s="100">
        <f>C101-C102-C103</f>
        <v>1036.699999999999</v>
      </c>
      <c r="D105" s="100">
        <f>D101-D102-D103</f>
        <v>403.00699999999915</v>
      </c>
      <c r="E105" s="96">
        <f>D105/D101*100</f>
        <v>9.876879362263653</v>
      </c>
      <c r="F105" s="96">
        <f t="shared" si="15"/>
        <v>40.144137862336784</v>
      </c>
      <c r="G105" s="96">
        <f t="shared" si="12"/>
        <v>38.87402334330082</v>
      </c>
      <c r="H105" s="96">
        <f>B105-D105</f>
        <v>600.8930000000014</v>
      </c>
      <c r="I105" s="96">
        <f t="shared" si="14"/>
        <v>633.6929999999998</v>
      </c>
    </row>
    <row r="106" spans="1:9" s="2" customFormat="1" ht="26.25" customHeight="1" thickBot="1">
      <c r="A106" s="92" t="s">
        <v>35</v>
      </c>
      <c r="B106" s="93">
        <f>SUM(B107:B142)-B114-B118+B143-B134-B135-B108-B111-B121-B122-B132</f>
        <v>143642.8</v>
      </c>
      <c r="C106" s="93">
        <f>SUM(C107:C142)-C114-C118+C143-C134-C135-C108-C111-C121-C122-C132</f>
        <v>173124.69999999998</v>
      </c>
      <c r="D106" s="93">
        <f>SUM(D107:D142)-D114-D118+D143-D134-D135-D108-D111-D121-D122-D132</f>
        <v>112593.00000000001</v>
      </c>
      <c r="E106" s="94">
        <f>D106/D145*100</f>
        <v>18.583615741391576</v>
      </c>
      <c r="F106" s="94">
        <f>D106/B106*100</f>
        <v>78.38401924774512</v>
      </c>
      <c r="G106" s="94">
        <f t="shared" si="12"/>
        <v>65.0357805674176</v>
      </c>
      <c r="H106" s="94">
        <f t="shared" si="13"/>
        <v>31049.799999999974</v>
      </c>
      <c r="I106" s="94">
        <f t="shared" si="14"/>
        <v>60531.69999999997</v>
      </c>
    </row>
    <row r="107" spans="1:9" ht="37.5">
      <c r="A107" s="34" t="s">
        <v>66</v>
      </c>
      <c r="B107" s="78">
        <v>1307.7</v>
      </c>
      <c r="C107" s="74">
        <f>1662.5+137.3</f>
        <v>1799.8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</f>
        <v>783.3000000000001</v>
      </c>
      <c r="E107" s="6">
        <f>D107/D106*100</f>
        <v>0.6956915616423756</v>
      </c>
      <c r="F107" s="6">
        <f t="shared" si="15"/>
        <v>59.89905941729755</v>
      </c>
      <c r="G107" s="6">
        <f t="shared" si="12"/>
        <v>43.52150238915436</v>
      </c>
      <c r="H107" s="6">
        <f aca="true" t="shared" si="16" ref="H107:H143">B107-D107</f>
        <v>524.4</v>
      </c>
      <c r="I107" s="6">
        <f t="shared" si="14"/>
        <v>1016.4999999999999</v>
      </c>
    </row>
    <row r="108" spans="1:9" ht="18">
      <c r="A108" s="29" t="s">
        <v>32</v>
      </c>
      <c r="B108" s="81">
        <v>521.2</v>
      </c>
      <c r="C108" s="51">
        <v>823.7</v>
      </c>
      <c r="D108" s="82">
        <f>96.8+90.7+64.1+48.5+58.1+15.9+13.5+19.9</f>
        <v>407.5</v>
      </c>
      <c r="E108" s="1"/>
      <c r="F108" s="1">
        <f t="shared" si="15"/>
        <v>78.18495778971604</v>
      </c>
      <c r="G108" s="1">
        <f t="shared" si="12"/>
        <v>49.47189510744202</v>
      </c>
      <c r="H108" s="1">
        <f t="shared" si="16"/>
        <v>113.70000000000005</v>
      </c>
      <c r="I108" s="1">
        <f t="shared" si="14"/>
        <v>416.20000000000005</v>
      </c>
    </row>
    <row r="109" spans="1:9" ht="34.5" customHeight="1">
      <c r="A109" s="17" t="s">
        <v>99</v>
      </c>
      <c r="B109" s="80">
        <v>700.1</v>
      </c>
      <c r="C109" s="68">
        <v>903.8</v>
      </c>
      <c r="D109" s="79">
        <f>20.7+31.6+0.1+27.7-0.1+31.4+0.1+10.6+34.1+43.9+13.6+28.6</f>
        <v>242.29999999999998</v>
      </c>
      <c r="E109" s="6">
        <f>D109/D106*100</f>
        <v>0.21519987921096334</v>
      </c>
      <c r="F109" s="6">
        <f>D109/B109*100</f>
        <v>34.60934152263962</v>
      </c>
      <c r="G109" s="6">
        <f t="shared" si="12"/>
        <v>26.809028546138524</v>
      </c>
      <c r="H109" s="6">
        <f t="shared" si="16"/>
        <v>457.80000000000007</v>
      </c>
      <c r="I109" s="6">
        <f t="shared" si="14"/>
        <v>661.5</v>
      </c>
    </row>
    <row r="110" spans="1:9" s="44" customFormat="1" ht="34.5" customHeight="1">
      <c r="A110" s="17" t="s">
        <v>74</v>
      </c>
      <c r="B110" s="80">
        <v>68.5</v>
      </c>
      <c r="C110" s="60">
        <f>71.8+12.8</f>
        <v>84.6</v>
      </c>
      <c r="D110" s="83">
        <f>5.3+5.3+0.5+1.7+6+6</f>
        <v>24.799999999999997</v>
      </c>
      <c r="E110" s="6">
        <f>D110/D106*100</f>
        <v>0.022026236089277302</v>
      </c>
      <c r="F110" s="6">
        <f t="shared" si="15"/>
        <v>36.20437956204379</v>
      </c>
      <c r="G110" s="6">
        <f t="shared" si="12"/>
        <v>29.314420803782504</v>
      </c>
      <c r="H110" s="6">
        <f t="shared" si="16"/>
        <v>43.7</v>
      </c>
      <c r="I110" s="6">
        <f t="shared" si="14"/>
        <v>59.8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50.5</v>
      </c>
      <c r="C112" s="68">
        <v>67.4</v>
      </c>
      <c r="D112" s="79">
        <f>5.5+5.4+5.5+5.5+5.5+5.5-0.1+2.7+0.1+2.7+5.5</f>
        <v>43.800000000000004</v>
      </c>
      <c r="E112" s="6">
        <f>D112/D106*100</f>
        <v>0.03890117502864299</v>
      </c>
      <c r="F112" s="6">
        <f t="shared" si="15"/>
        <v>86.73267326732675</v>
      </c>
      <c r="G112" s="6">
        <f t="shared" si="12"/>
        <v>64.98516320474778</v>
      </c>
      <c r="H112" s="6">
        <f t="shared" si="16"/>
        <v>6.699999999999996</v>
      </c>
      <c r="I112" s="6">
        <f t="shared" si="14"/>
        <v>23.6</v>
      </c>
    </row>
    <row r="113" spans="1:9" ht="37.5">
      <c r="A113" s="17" t="s">
        <v>46</v>
      </c>
      <c r="B113" s="80">
        <v>1140.3</v>
      </c>
      <c r="C113" s="68">
        <v>1532.5</v>
      </c>
      <c r="D113" s="79">
        <f>96.4+0.6+6.3+86+10.4+21.5+5.3+0.1+11.6+102.1+10.6+3.5+5.6+100.7+13.3+0.9+3.6+96.9-0.1+15.7+1.7+1+96.8+0.1+4+1+0.2+1.2+96.6+0.3-0.1+8.6+0.3+99</f>
        <v>901.7000000000002</v>
      </c>
      <c r="E113" s="6">
        <f>D113/D106*100</f>
        <v>0.8008490758750545</v>
      </c>
      <c r="F113" s="6">
        <f t="shared" si="15"/>
        <v>79.0756818381128</v>
      </c>
      <c r="G113" s="6">
        <f t="shared" si="12"/>
        <v>58.83849918433932</v>
      </c>
      <c r="H113" s="6">
        <f t="shared" si="16"/>
        <v>238.5999999999998</v>
      </c>
      <c r="I113" s="6">
        <f t="shared" si="14"/>
        <v>630.7999999999998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0.03197356851669286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205.2</v>
      </c>
      <c r="C116" s="68">
        <v>245.2</v>
      </c>
      <c r="D116" s="79">
        <f>19.1+40</f>
        <v>59.1</v>
      </c>
      <c r="E116" s="6">
        <f>D116/D106*100</f>
        <v>0.052489941648237455</v>
      </c>
      <c r="F116" s="6">
        <f>D116/B116*100</f>
        <v>28.801169590643276</v>
      </c>
      <c r="G116" s="6">
        <f t="shared" si="12"/>
        <v>24.10277324632953</v>
      </c>
      <c r="H116" s="6">
        <f t="shared" si="16"/>
        <v>146.1</v>
      </c>
      <c r="I116" s="6">
        <f t="shared" si="14"/>
        <v>186.1</v>
      </c>
    </row>
    <row r="117" spans="1:9" s="2" customFormat="1" ht="18.75">
      <c r="A117" s="17" t="s">
        <v>16</v>
      </c>
      <c r="B117" s="80">
        <v>175.6</v>
      </c>
      <c r="C117" s="60">
        <f>199.6+4.8</f>
        <v>204.4</v>
      </c>
      <c r="D117" s="79">
        <f>1.6+18.3+17.8+0.8+2.2+4+0.6+16.7+3.7+3.6+16.7+3.4+1.3+16.7+2.9+0.8+16.7+0.1+0.8+1.3+16.7+3.7+1.1</f>
        <v>151.5</v>
      </c>
      <c r="E117" s="6">
        <f>D117/D106*100</f>
        <v>0.13455543417441582</v>
      </c>
      <c r="F117" s="6">
        <f t="shared" si="15"/>
        <v>86.27562642369021</v>
      </c>
      <c r="G117" s="6">
        <f t="shared" si="12"/>
        <v>74.11937377690802</v>
      </c>
      <c r="H117" s="6">
        <f t="shared" si="16"/>
        <v>24.099999999999994</v>
      </c>
      <c r="I117" s="6">
        <f t="shared" si="14"/>
        <v>52.900000000000006</v>
      </c>
    </row>
    <row r="118" spans="1:9" s="39" customFormat="1" ht="18">
      <c r="A118" s="40" t="s">
        <v>53</v>
      </c>
      <c r="B118" s="81">
        <v>133.7</v>
      </c>
      <c r="C118" s="51">
        <v>150.8</v>
      </c>
      <c r="D118" s="82">
        <f>16.7+16.7+16.7+16.7+16.7+16.7+16.7</f>
        <v>116.9</v>
      </c>
      <c r="E118" s="1"/>
      <c r="F118" s="1">
        <f t="shared" si="15"/>
        <v>87.434554973822</v>
      </c>
      <c r="G118" s="1">
        <f t="shared" si="12"/>
        <v>77.51989389920423</v>
      </c>
      <c r="H118" s="1">
        <f t="shared" si="16"/>
        <v>16.799999999999983</v>
      </c>
      <c r="I118" s="1">
        <f t="shared" si="14"/>
        <v>33.900000000000006</v>
      </c>
    </row>
    <row r="119" spans="1:9" s="2" customFormat="1" ht="18.75">
      <c r="A119" s="17" t="s">
        <v>25</v>
      </c>
      <c r="B119" s="80">
        <v>1418.4</v>
      </c>
      <c r="C119" s="60">
        <f>1468.8+249.6</f>
        <v>1718.3999999999999</v>
      </c>
      <c r="D119" s="79">
        <f>249.6+108.7+40+50</f>
        <v>448.3</v>
      </c>
      <c r="E119" s="6">
        <f>D119/D106*100</f>
        <v>0.3981597435009281</v>
      </c>
      <c r="F119" s="6">
        <f t="shared" si="15"/>
        <v>31.60603496897913</v>
      </c>
      <c r="G119" s="6">
        <f t="shared" si="12"/>
        <v>26.088221601489757</v>
      </c>
      <c r="H119" s="6">
        <f t="shared" si="16"/>
        <v>970.1000000000001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>
        <v>1251</v>
      </c>
      <c r="C120" s="60">
        <f>628+70+553</f>
        <v>1251</v>
      </c>
      <c r="D120" s="83">
        <f>110.6+553+71.8+70.5</f>
        <v>805.9</v>
      </c>
      <c r="E120" s="19">
        <f>D120/D106*100</f>
        <v>0.7157638574334104</v>
      </c>
      <c r="F120" s="6">
        <f t="shared" si="15"/>
        <v>64.42046362909673</v>
      </c>
      <c r="G120" s="6">
        <f t="shared" si="12"/>
        <v>64.42046362909673</v>
      </c>
      <c r="H120" s="6">
        <f t="shared" si="16"/>
        <v>445.1</v>
      </c>
      <c r="I120" s="6">
        <f t="shared" si="14"/>
        <v>445.1</v>
      </c>
    </row>
    <row r="121" spans="1:9" s="115" customFormat="1" ht="18">
      <c r="A121" s="29" t="s">
        <v>101</v>
      </c>
      <c r="B121" s="81">
        <v>70</v>
      </c>
      <c r="C121" s="51">
        <v>70</v>
      </c>
      <c r="D121" s="82">
        <v>70</v>
      </c>
      <c r="E121" s="6"/>
      <c r="F121" s="1">
        <f>D121/B121*100</f>
        <v>100</v>
      </c>
      <c r="G121" s="1">
        <f t="shared" si="12"/>
        <v>100</v>
      </c>
      <c r="H121" s="1">
        <f t="shared" si="16"/>
        <v>0</v>
      </c>
      <c r="I121" s="1">
        <f t="shared" si="14"/>
        <v>0</v>
      </c>
    </row>
    <row r="122" spans="1:9" s="115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2166.8</v>
      </c>
      <c r="C123" s="60">
        <v>2933.8</v>
      </c>
      <c r="D123" s="83">
        <f>21+0.9+174.2+5+11.4+16.5-0.1+809.5+345.2+0.7+692.9</f>
        <v>2077.2000000000003</v>
      </c>
      <c r="E123" s="19">
        <f>D123/D106*100</f>
        <v>1.8448749034131784</v>
      </c>
      <c r="F123" s="6">
        <f t="shared" si="15"/>
        <v>95.86486985416283</v>
      </c>
      <c r="G123" s="6">
        <f t="shared" si="12"/>
        <v>70.80237234985344</v>
      </c>
      <c r="H123" s="6">
        <f t="shared" si="16"/>
        <v>89.59999999999991</v>
      </c>
      <c r="I123" s="6">
        <f t="shared" si="14"/>
        <v>856.5999999999999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0.11537129306440008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0.0017763093620384925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v>252.4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252.4</v>
      </c>
      <c r="I126" s="6">
        <f t="shared" si="14"/>
        <v>332.3</v>
      </c>
    </row>
    <row r="127" spans="1:9" s="2" customFormat="1" ht="37.5">
      <c r="A127" s="17" t="s">
        <v>77</v>
      </c>
      <c r="B127" s="80">
        <v>748.2</v>
      </c>
      <c r="C127" s="60">
        <f>101.4+27.9+634-0.2</f>
        <v>763.0999999999999</v>
      </c>
      <c r="D127" s="83">
        <f>3+3+4.9+21.9-0.1+12.2+1.6+6.9+7.8+0.7+8.4+2.4+5+2.4+0.1+5.6+2.4+0.1+5+2.4+578.6+30.5+2.4</f>
        <v>707.2</v>
      </c>
      <c r="E127" s="19">
        <f>D127/D106*100</f>
        <v>0.628102990416811</v>
      </c>
      <c r="F127" s="6">
        <f t="shared" si="15"/>
        <v>94.52018176958032</v>
      </c>
      <c r="G127" s="6">
        <f t="shared" si="12"/>
        <v>92.67461669505964</v>
      </c>
      <c r="H127" s="6">
        <f t="shared" si="16"/>
        <v>41</v>
      </c>
      <c r="I127" s="6">
        <f t="shared" si="14"/>
        <v>55.899999999999864</v>
      </c>
    </row>
    <row r="128" spans="1:9" s="2" customFormat="1" ht="18.75">
      <c r="A128" s="17" t="s">
        <v>71</v>
      </c>
      <c r="B128" s="80">
        <v>573.4</v>
      </c>
      <c r="C128" s="60">
        <v>650</v>
      </c>
      <c r="D128" s="83">
        <f>8.7+23.6+6.2+5.1+38.5+4.6+4.8+8.6+12.9+2.8+0.1+16.3+3+2.5+6.2-0.2+39.7+9.9+9.5+37.2+8.4+10.6+4.5+4.6+8.4+6.1+57.4</f>
        <v>340</v>
      </c>
      <c r="E128" s="19">
        <f>D128/D106*100</f>
        <v>0.3019725915465437</v>
      </c>
      <c r="F128" s="6">
        <f t="shared" si="15"/>
        <v>59.295430763864665</v>
      </c>
      <c r="G128" s="6">
        <f t="shared" si="12"/>
        <v>52.307692307692314</v>
      </c>
      <c r="H128" s="6">
        <f t="shared" si="16"/>
        <v>233.39999999999998</v>
      </c>
      <c r="I128" s="6">
        <f t="shared" si="14"/>
        <v>310</v>
      </c>
    </row>
    <row r="129" spans="1:9" s="2" customFormat="1" ht="35.25" customHeight="1">
      <c r="A129" s="17" t="s">
        <v>70</v>
      </c>
      <c r="B129" s="80">
        <v>125</v>
      </c>
      <c r="C129" s="60">
        <f>171.5+14.8-110+48.7</f>
        <v>125.00000000000001</v>
      </c>
      <c r="D129" s="83">
        <f>5.6+5.6+3.5+1.3+1.8+0.1+2.5+14.8</f>
        <v>35.2</v>
      </c>
      <c r="E129" s="19">
        <f>D129/D106*100</f>
        <v>0.03126304477187747</v>
      </c>
      <c r="F129" s="6">
        <f t="shared" si="15"/>
        <v>28.16</v>
      </c>
      <c r="G129" s="6">
        <f t="shared" si="12"/>
        <v>28.16</v>
      </c>
      <c r="H129" s="6">
        <f t="shared" si="16"/>
        <v>89.8</v>
      </c>
      <c r="I129" s="6">
        <f t="shared" si="14"/>
        <v>89.80000000000001</v>
      </c>
    </row>
    <row r="130" spans="1:9" s="2" customFormat="1" ht="35.25" customHeight="1">
      <c r="A130" s="17" t="s">
        <v>72</v>
      </c>
      <c r="B130" s="80">
        <v>90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90</v>
      </c>
      <c r="I130" s="6">
        <f t="shared" si="14"/>
        <v>220</v>
      </c>
    </row>
    <row r="131" spans="1:9" s="2" customFormat="1" ht="37.5">
      <c r="A131" s="17" t="s">
        <v>108</v>
      </c>
      <c r="B131" s="80">
        <f>265.1+39.2</f>
        <v>304.3</v>
      </c>
      <c r="C131" s="60">
        <f>265.1+39.2</f>
        <v>304.3</v>
      </c>
      <c r="D131" s="83">
        <f>59.9+7.6+10.7+6.3+5.3+38.1+4+0.1+1.7+3.6+39.2+1.5+0.1+12.4+0.1</f>
        <v>190.6</v>
      </c>
      <c r="E131" s="19">
        <f>D131/D106*100</f>
        <v>0.16928228220226832</v>
      </c>
      <c r="F131" s="6">
        <f t="shared" si="15"/>
        <v>62.635557016102524</v>
      </c>
      <c r="G131" s="6">
        <f>D131/C131*100</f>
        <v>62.635557016102524</v>
      </c>
      <c r="H131" s="6">
        <f t="shared" si="16"/>
        <v>113.70000000000002</v>
      </c>
      <c r="I131" s="6">
        <f t="shared" si="14"/>
        <v>113.70000000000002</v>
      </c>
    </row>
    <row r="132" spans="1:9" s="39" customFormat="1" ht="18">
      <c r="A132" s="29" t="s">
        <v>32</v>
      </c>
      <c r="B132" s="81">
        <v>64.2</v>
      </c>
      <c r="C132" s="51">
        <v>64.2</v>
      </c>
      <c r="D132" s="82">
        <f>7.6+0.3+4.8+38.1+4+0.1+0.1+0.1+8.5</f>
        <v>63.6</v>
      </c>
      <c r="E132" s="1">
        <f>D132/D131*100</f>
        <v>33.36831059811123</v>
      </c>
      <c r="F132" s="1">
        <f t="shared" si="15"/>
        <v>99.06542056074767</v>
      </c>
      <c r="G132" s="1">
        <f>D132/C132*100</f>
        <v>99.06542056074767</v>
      </c>
      <c r="H132" s="1">
        <f t="shared" si="16"/>
        <v>0.6000000000000014</v>
      </c>
      <c r="I132" s="1">
        <f t="shared" si="14"/>
        <v>0.6000000000000014</v>
      </c>
    </row>
    <row r="133" spans="1:9" s="2" customFormat="1" ht="18.75">
      <c r="A133" s="17" t="s">
        <v>31</v>
      </c>
      <c r="B133" s="80">
        <v>737.6</v>
      </c>
      <c r="C133" s="60">
        <f>981.9+3.8</f>
        <v>985.6999999999999</v>
      </c>
      <c r="D133" s="83">
        <f>21.9+41.8+0.1+6.1+26+3.6+0.1+41-0.1+21.3+6.2+7.1+43.4+4.5+8.8+48.5+7.5+32.1+0.1+41.9+8.4+5.1+33.1+1.3+25.6+4.3+48.8+5.3+25.6+1.9+53.3-0.1+30.8+0.1+48.5+0.4</f>
        <v>654.3</v>
      </c>
      <c r="E133" s="19">
        <f>D133/D106*100</f>
        <v>0.5811196077908928</v>
      </c>
      <c r="F133" s="6">
        <f t="shared" si="15"/>
        <v>88.70661605206072</v>
      </c>
      <c r="G133" s="6">
        <f t="shared" si="12"/>
        <v>66.37922288728822</v>
      </c>
      <c r="H133" s="6">
        <f t="shared" si="16"/>
        <v>83.30000000000007</v>
      </c>
      <c r="I133" s="6">
        <f t="shared" si="14"/>
        <v>331.4</v>
      </c>
    </row>
    <row r="134" spans="1:9" s="39" customFormat="1" ht="18">
      <c r="A134" s="40" t="s">
        <v>53</v>
      </c>
      <c r="B134" s="81">
        <v>643.9</v>
      </c>
      <c r="C134" s="51">
        <v>848.7</v>
      </c>
      <c r="D134" s="82">
        <f>21.9+39.7+0.1+6.1+19+41-0.1+21.3+43.3+8.5+32.3+32.1+41.5+4.2+33.1+25.6+47+0.1+25.6+53.3+26.2+48.5+0.4</f>
        <v>570.7000000000002</v>
      </c>
      <c r="E134" s="1">
        <f>D134/D133*100</f>
        <v>87.22298639767693</v>
      </c>
      <c r="F134" s="1">
        <f aca="true" t="shared" si="17" ref="F134:F142">D134/B134*100</f>
        <v>88.63177512036033</v>
      </c>
      <c r="G134" s="1">
        <f t="shared" si="12"/>
        <v>67.24402026628964</v>
      </c>
      <c r="H134" s="1">
        <f t="shared" si="16"/>
        <v>73.19999999999982</v>
      </c>
      <c r="I134" s="1">
        <f t="shared" si="14"/>
        <v>277.9999999999999</v>
      </c>
    </row>
    <row r="135" spans="1:9" s="39" customFormat="1" ht="18">
      <c r="A135" s="29" t="s">
        <v>32</v>
      </c>
      <c r="B135" s="81">
        <v>22.4</v>
      </c>
      <c r="C135" s="51">
        <v>26.3</v>
      </c>
      <c r="D135" s="82">
        <f>7+6+0.2+7.1+0.1+0.4+0.3+0.1+0.3+0.4</f>
        <v>21.9</v>
      </c>
      <c r="E135" s="1">
        <f>D135/D133*100</f>
        <v>3.3470884915176526</v>
      </c>
      <c r="F135" s="1">
        <f t="shared" si="17"/>
        <v>97.76785714285714</v>
      </c>
      <c r="G135" s="1">
        <f>D135/C135*100</f>
        <v>83.2699619771863</v>
      </c>
      <c r="H135" s="1">
        <f t="shared" si="16"/>
        <v>0.5</v>
      </c>
      <c r="I135" s="1">
        <f t="shared" si="14"/>
        <v>4.400000000000002</v>
      </c>
    </row>
    <row r="136" spans="1:9" s="2" customFormat="1" ht="56.25">
      <c r="A136" s="23" t="s">
        <v>114</v>
      </c>
      <c r="B136" s="80">
        <v>200</v>
      </c>
      <c r="C136" s="60">
        <v>200</v>
      </c>
      <c r="D136" s="83">
        <v>200</v>
      </c>
      <c r="E136" s="19">
        <f>D136/D106*100</f>
        <v>0.17763093620384923</v>
      </c>
      <c r="F136" s="112">
        <f t="shared" si="17"/>
        <v>100</v>
      </c>
      <c r="G136" s="6">
        <f t="shared" si="12"/>
        <v>100</v>
      </c>
      <c r="H136" s="6">
        <f t="shared" si="16"/>
        <v>0</v>
      </c>
      <c r="I136" s="6">
        <f t="shared" si="14"/>
        <v>0</v>
      </c>
    </row>
    <row r="137" spans="1:9" s="2" customFormat="1" ht="18.75">
      <c r="A137" s="23" t="s">
        <v>110</v>
      </c>
      <c r="B137" s="80">
        <v>427</v>
      </c>
      <c r="C137" s="60">
        <v>427</v>
      </c>
      <c r="D137" s="83"/>
      <c r="E137" s="19"/>
      <c r="F137" s="112">
        <f>D137/B137*100</f>
        <v>0</v>
      </c>
      <c r="G137" s="6">
        <f t="shared" si="12"/>
        <v>0</v>
      </c>
      <c r="H137" s="6">
        <f t="shared" si="16"/>
        <v>427</v>
      </c>
      <c r="I137" s="6">
        <f t="shared" si="14"/>
        <v>427</v>
      </c>
    </row>
    <row r="138" spans="1:9" s="2" customFormat="1" ht="18.75">
      <c r="A138" s="23" t="s">
        <v>111</v>
      </c>
      <c r="B138" s="80">
        <f>2550+1900</f>
        <v>4450</v>
      </c>
      <c r="C138" s="60">
        <f>6500-2076-424+9200</f>
        <v>13200</v>
      </c>
      <c r="D138" s="83">
        <f>241.3+64.6+48.1+278.9+170.1+140.9+637.5</f>
        <v>1581.4</v>
      </c>
      <c r="E138" s="19">
        <f>D138/D106*100</f>
        <v>1.404527812563836</v>
      </c>
      <c r="F138" s="112">
        <f t="shared" si="17"/>
        <v>35.53707865168539</v>
      </c>
      <c r="G138" s="6">
        <f t="shared" si="12"/>
        <v>11.980303030303032</v>
      </c>
      <c r="H138" s="6">
        <f t="shared" si="16"/>
        <v>2868.6</v>
      </c>
      <c r="I138" s="6">
        <f t="shared" si="14"/>
        <v>11618.6</v>
      </c>
    </row>
    <row r="139" spans="1:9" s="2" customFormat="1" ht="18.75">
      <c r="A139" s="23" t="s">
        <v>112</v>
      </c>
      <c r="B139" s="80">
        <v>3775.1</v>
      </c>
      <c r="C139" s="60">
        <f>6082.6-959.5</f>
        <v>5123.1</v>
      </c>
      <c r="D139" s="83">
        <f>626.1+43.8+40.3+236+112.9+11.4-0.1+68.6+570.3+22.4+44.4+39.9+585.7+199.1+14+103.1+2.3+286.9+158.5+66.9+234.3</f>
        <v>3466.8000000000006</v>
      </c>
      <c r="E139" s="19">
        <f>D139/D106*100</f>
        <v>3.0790546481575234</v>
      </c>
      <c r="F139" s="112">
        <f t="shared" si="17"/>
        <v>91.83332891843926</v>
      </c>
      <c r="G139" s="6">
        <f t="shared" si="12"/>
        <v>67.66996545060609</v>
      </c>
      <c r="H139" s="6">
        <f t="shared" si="16"/>
        <v>308.2999999999993</v>
      </c>
      <c r="I139" s="6">
        <f t="shared" si="14"/>
        <v>1656.2999999999997</v>
      </c>
    </row>
    <row r="140" spans="1:9" s="2" customFormat="1" ht="18.75">
      <c r="A140" s="17" t="s">
        <v>115</v>
      </c>
      <c r="B140" s="80">
        <f>4188+2094</f>
        <v>6282</v>
      </c>
      <c r="C140" s="60">
        <v>8376</v>
      </c>
      <c r="D140" s="83">
        <f>2094+2094+2094</f>
        <v>6282</v>
      </c>
      <c r="E140" s="19">
        <f>D140/D106*100</f>
        <v>5.579387706162905</v>
      </c>
      <c r="F140" s="112">
        <f t="shared" si="17"/>
        <v>100</v>
      </c>
      <c r="G140" s="6">
        <f t="shared" si="12"/>
        <v>75</v>
      </c>
      <c r="H140" s="6">
        <f t="shared" si="16"/>
        <v>0</v>
      </c>
      <c r="I140" s="6">
        <f t="shared" si="14"/>
        <v>2094</v>
      </c>
    </row>
    <row r="141" spans="1:12" s="2" customFormat="1" ht="18.75" customHeight="1">
      <c r="A141" s="17" t="s">
        <v>98</v>
      </c>
      <c r="B141" s="80">
        <v>538.2</v>
      </c>
      <c r="C141" s="60">
        <v>538.2</v>
      </c>
      <c r="D141" s="83">
        <f>507.8+15.4+15</f>
        <v>538.2</v>
      </c>
      <c r="E141" s="19">
        <f>D141/D106*100</f>
        <v>0.47800484932455833</v>
      </c>
      <c r="F141" s="112">
        <f t="shared" si="17"/>
        <v>100</v>
      </c>
      <c r="G141" s="6">
        <f t="shared" si="12"/>
        <v>100</v>
      </c>
      <c r="H141" s="6">
        <f t="shared" si="16"/>
        <v>0</v>
      </c>
      <c r="I141" s="6">
        <f t="shared" si="14"/>
        <v>0</v>
      </c>
      <c r="K141" s="45"/>
      <c r="L141" s="45"/>
    </row>
    <row r="142" spans="1:12" s="2" customFormat="1" ht="19.5" customHeight="1">
      <c r="A142" s="17" t="s">
        <v>64</v>
      </c>
      <c r="B142" s="80">
        <v>99789.9</v>
      </c>
      <c r="C142" s="60">
        <f>91632.1+2530-27+23.1+959.5+13590.1</f>
        <v>108707.80000000002</v>
      </c>
      <c r="D142" s="83">
        <f>500.9+20883.8+13804+7506.8+2189.4+1247.6+18786.6+13748.5</f>
        <v>78667.6</v>
      </c>
      <c r="E142" s="19">
        <f>D142/D106*100</f>
        <v>69.86899718454966</v>
      </c>
      <c r="F142" s="6">
        <f t="shared" si="17"/>
        <v>78.83322861331659</v>
      </c>
      <c r="G142" s="6">
        <f t="shared" si="12"/>
        <v>72.36610436417625</v>
      </c>
      <c r="H142" s="6">
        <f t="shared" si="16"/>
        <v>21122.29999999999</v>
      </c>
      <c r="I142" s="6">
        <f t="shared" si="14"/>
        <v>30040.20000000001</v>
      </c>
      <c r="K142" s="103"/>
      <c r="L142" s="45"/>
    </row>
    <row r="143" spans="1:12" s="2" customFormat="1" ht="18.75">
      <c r="A143" s="17" t="s">
        <v>113</v>
      </c>
      <c r="B143" s="80">
        <v>16697.7</v>
      </c>
      <c r="C143" s="60">
        <v>22263.4</v>
      </c>
      <c r="D143" s="83">
        <f>1236.9+618.4+618.4+618.4+618.5+618.4+618.4+618.5+618.4+618.4+618.5+618.4+618.4+618.5+618.4+618.4+618.5+618.4+618.4+618.5+618.4+618.4</f>
        <v>14223.899999999996</v>
      </c>
      <c r="E143" s="19">
        <f>D143/D106*100</f>
        <v>12.633023367349653</v>
      </c>
      <c r="F143" s="6">
        <f t="shared" si="15"/>
        <v>85.18478592860092</v>
      </c>
      <c r="G143" s="6">
        <f t="shared" si="12"/>
        <v>63.88916338025636</v>
      </c>
      <c r="H143" s="6">
        <f t="shared" si="16"/>
        <v>2473.8000000000047</v>
      </c>
      <c r="I143" s="6">
        <f t="shared" si="14"/>
        <v>8039.5000000000055</v>
      </c>
      <c r="K143" s="45"/>
      <c r="L143" s="45"/>
    </row>
    <row r="144" spans="1:12" s="2" customFormat="1" ht="19.5" thickBot="1">
      <c r="A144" s="41" t="s">
        <v>36</v>
      </c>
      <c r="B144" s="84">
        <f>B43+B68+B71+B76+B78+B86+B101+B106+B99+B83+B97</f>
        <v>152180.19999999998</v>
      </c>
      <c r="C144" s="84">
        <f>C43+C68+C71+C76+C78+C86+C101+C106+C99+C83+C97</f>
        <v>186519.9</v>
      </c>
      <c r="D144" s="60">
        <f>D43+D68+D71+D76+D78+D86+D101+D106+D99+D83+D97</f>
        <v>117437.80700000002</v>
      </c>
      <c r="E144" s="19"/>
      <c r="F144" s="19"/>
      <c r="G144" s="6"/>
      <c r="H144" s="6"/>
      <c r="I144" s="20"/>
      <c r="K144" s="45"/>
      <c r="L144" s="45"/>
    </row>
    <row r="145" spans="1:12" ht="19.5" thickBot="1">
      <c r="A145" s="14" t="s">
        <v>19</v>
      </c>
      <c r="B145" s="54">
        <f>B6+B18+B33+B43+B51+B58+B68+B71+B76+B78+B86+B89+B94+B101+B106+B99+B83+B97+B45</f>
        <v>724944.8999999998</v>
      </c>
      <c r="C145" s="54">
        <f>C6+C18+C33+C43+C51+C58+C68+C71+C76+C78+C86+C89+C94+C101+C106+C99+C83+C97+C45</f>
        <v>968510.7000000001</v>
      </c>
      <c r="D145" s="54">
        <f>D6+D18+D33+D43+D51+D58+D68+D71+D76+D78+D86+D89+D94+D101+D106+D99+D83+D97+D45</f>
        <v>605872.4069999999</v>
      </c>
      <c r="E145" s="38">
        <v>100</v>
      </c>
      <c r="F145" s="3">
        <f>D145/B145*100</f>
        <v>83.57495955899546</v>
      </c>
      <c r="G145" s="3">
        <f aca="true" t="shared" si="18" ref="G145:G151">D145/C145*100</f>
        <v>62.557120638935615</v>
      </c>
      <c r="H145" s="3">
        <f aca="true" t="shared" si="19" ref="H145:H151">B145-D145</f>
        <v>119072.4929999999</v>
      </c>
      <c r="I145" s="3">
        <f aca="true" t="shared" si="20" ref="I145:I151">C145-D145</f>
        <v>362638.2930000002</v>
      </c>
      <c r="K145" s="46"/>
      <c r="L145" s="47"/>
    </row>
    <row r="146" spans="1:12" ht="18.75">
      <c r="A146" s="23" t="s">
        <v>5</v>
      </c>
      <c r="B146" s="67">
        <f>B8+B20+B34+B52+B59+B90+B114+B118+B46+B134</f>
        <v>407958.6000000001</v>
      </c>
      <c r="C146" s="67">
        <f>C8+C20+C34+C52+C59+C90+C114+C118+C46+C134</f>
        <v>558041.7</v>
      </c>
      <c r="D146" s="67">
        <f>D8+D20+D34+D52+D59+D90+D114+D118+D46+D134</f>
        <v>352073.8</v>
      </c>
      <c r="E146" s="6">
        <f>D146/D145*100</f>
        <v>58.110221877128666</v>
      </c>
      <c r="F146" s="6">
        <f aca="true" t="shared" si="21" ref="F146:F157">D146/B146*100</f>
        <v>86.30135508848198</v>
      </c>
      <c r="G146" s="6">
        <f t="shared" si="18"/>
        <v>63.09094822125301</v>
      </c>
      <c r="H146" s="6">
        <f t="shared" si="19"/>
        <v>55884.800000000105</v>
      </c>
      <c r="I146" s="18">
        <f t="shared" si="20"/>
        <v>205967.89999999997</v>
      </c>
      <c r="K146" s="46"/>
      <c r="L146" s="47"/>
    </row>
    <row r="147" spans="1:12" ht="18.75">
      <c r="A147" s="23" t="s">
        <v>0</v>
      </c>
      <c r="B147" s="68">
        <f>B11+B23+B36+B55+B61+B91+B49+B135+B108+B111+B95+B132</f>
        <v>68868.7</v>
      </c>
      <c r="C147" s="68">
        <f>C11+C23+C36+C55+C61+C91+C49+C135+C108+C111+C95+C132</f>
        <v>99794.5</v>
      </c>
      <c r="D147" s="68">
        <f>D11+D23+D36+D55+D61+D91+D49+D135+D108+D111+D95+D132</f>
        <v>57587.99999999999</v>
      </c>
      <c r="E147" s="6">
        <f>D147/D145*100</f>
        <v>9.504971564087091</v>
      </c>
      <c r="F147" s="6">
        <f t="shared" si="21"/>
        <v>83.6199899228532</v>
      </c>
      <c r="G147" s="6">
        <f t="shared" si="18"/>
        <v>57.706587036359714</v>
      </c>
      <c r="H147" s="6">
        <f t="shared" si="19"/>
        <v>11280.700000000004</v>
      </c>
      <c r="I147" s="18">
        <f t="shared" si="20"/>
        <v>42206.50000000001</v>
      </c>
      <c r="K147" s="46"/>
      <c r="L147" s="102"/>
    </row>
    <row r="148" spans="1:12" ht="18.75">
      <c r="A148" s="23" t="s">
        <v>1</v>
      </c>
      <c r="B148" s="67">
        <f>B22+B10+B54+B48+B60+B35+B102+B122</f>
        <v>18317.8</v>
      </c>
      <c r="C148" s="67">
        <f>C22+C10+C54+C48+C60+C35+C102+C122</f>
        <v>25986.7</v>
      </c>
      <c r="D148" s="67">
        <f>D22+D10+D54+D48+D60+D35+D102+D122</f>
        <v>13421.199999999999</v>
      </c>
      <c r="E148" s="6">
        <f>D148/D145*100</f>
        <v>2.2151858782372313</v>
      </c>
      <c r="F148" s="6">
        <f t="shared" si="21"/>
        <v>73.26862396139275</v>
      </c>
      <c r="G148" s="6">
        <f t="shared" si="18"/>
        <v>51.64641912978561</v>
      </c>
      <c r="H148" s="6">
        <f t="shared" si="19"/>
        <v>4896.6</v>
      </c>
      <c r="I148" s="18">
        <f t="shared" si="20"/>
        <v>12565.500000000002</v>
      </c>
      <c r="K148" s="46"/>
      <c r="L148" s="47"/>
    </row>
    <row r="149" spans="1:12" ht="21" customHeight="1">
      <c r="A149" s="23" t="s">
        <v>15</v>
      </c>
      <c r="B149" s="67">
        <f>B12+B24+B103+B62+B38+B92</f>
        <v>9769</v>
      </c>
      <c r="C149" s="67">
        <f>C12+C24+C103+C62+C38+C92</f>
        <v>15605.2</v>
      </c>
      <c r="D149" s="67">
        <f>D12+D24+D103+D62+D38+D92</f>
        <v>5743.2</v>
      </c>
      <c r="E149" s="6">
        <f>D149/D145*100</f>
        <v>0.9479223568601962</v>
      </c>
      <c r="F149" s="6">
        <f t="shared" si="21"/>
        <v>58.79005015866517</v>
      </c>
      <c r="G149" s="6">
        <f t="shared" si="18"/>
        <v>36.80311690974803</v>
      </c>
      <c r="H149" s="6">
        <f t="shared" si="19"/>
        <v>4025.8</v>
      </c>
      <c r="I149" s="18">
        <f t="shared" si="20"/>
        <v>9862</v>
      </c>
      <c r="K149" s="46"/>
      <c r="L149" s="102"/>
    </row>
    <row r="150" spans="1:12" ht="18.75">
      <c r="A150" s="23" t="s">
        <v>2</v>
      </c>
      <c r="B150" s="67">
        <f>B9+B21+B47+B53+B121</f>
        <v>9636.099999999999</v>
      </c>
      <c r="C150" s="67">
        <f>C9+C21+C47+C53+C121</f>
        <v>13124.6</v>
      </c>
      <c r="D150" s="67">
        <f>D9+D21+D47+D53+D121</f>
        <v>6369.899999999999</v>
      </c>
      <c r="E150" s="6">
        <f>D150/D145*100</f>
        <v>1.0513599771841071</v>
      </c>
      <c r="F150" s="6">
        <f t="shared" si="21"/>
        <v>66.10454436961011</v>
      </c>
      <c r="G150" s="6">
        <f t="shared" si="18"/>
        <v>48.534050561540916</v>
      </c>
      <c r="H150" s="6">
        <f t="shared" si="19"/>
        <v>3266.2</v>
      </c>
      <c r="I150" s="18">
        <f t="shared" si="20"/>
        <v>6754.700000000002</v>
      </c>
      <c r="K150" s="46"/>
      <c r="L150" s="47"/>
    </row>
    <row r="151" spans="1:12" ht="19.5" thickBot="1">
      <c r="A151" s="23" t="s">
        <v>34</v>
      </c>
      <c r="B151" s="67">
        <f>B145-B146-B147-B148-B149-B150</f>
        <v>210394.6999999997</v>
      </c>
      <c r="C151" s="67">
        <f>C145-C146-C147-C148-C149-C150</f>
        <v>255958.0000000001</v>
      </c>
      <c r="D151" s="67">
        <f>D145-D146-D147-D148-D149-D150</f>
        <v>170676.30699999988</v>
      </c>
      <c r="E151" s="6">
        <f>D151/D145*100</f>
        <v>28.1703383465027</v>
      </c>
      <c r="F151" s="6">
        <f t="shared" si="21"/>
        <v>81.12196124712273</v>
      </c>
      <c r="G151" s="43">
        <f t="shared" si="18"/>
        <v>66.68137233452357</v>
      </c>
      <c r="H151" s="6">
        <f t="shared" si="19"/>
        <v>39718.39299999981</v>
      </c>
      <c r="I151" s="6">
        <f t="shared" si="20"/>
        <v>85281.6930000002</v>
      </c>
      <c r="K151" s="46"/>
      <c r="L151" s="102"/>
    </row>
    <row r="152" spans="1:12" ht="5.25" customHeight="1" thickBot="1">
      <c r="A152" s="35"/>
      <c r="B152" s="85"/>
      <c r="C152" s="86"/>
      <c r="D152" s="86"/>
      <c r="E152" s="21"/>
      <c r="F152" s="21"/>
      <c r="G152" s="21"/>
      <c r="H152" s="21"/>
      <c r="I152" s="22"/>
      <c r="K152" s="46"/>
      <c r="L152" s="46"/>
    </row>
    <row r="153" spans="1:12" ht="18.75">
      <c r="A153" s="32" t="s">
        <v>21</v>
      </c>
      <c r="B153" s="87">
        <v>17766.1</v>
      </c>
      <c r="C153" s="73">
        <f>3301.9+496+14356.4+1358.1</f>
        <v>19512.399999999998</v>
      </c>
      <c r="D153" s="73">
        <f>288.1+1522.4+951.8+530.2+8.8+0.5+0.1+495.9+10.6+101+174.6+2.1+509.4+15+8.4+488.4+154.3+94.8+166.1+65.8+286.9+80.4+239.8+10.1+12.9+335.6+111.7+50.2+26.4+275.5+191.2+157.5+87.7</f>
        <v>7454.199999999999</v>
      </c>
      <c r="E153" s="15"/>
      <c r="F153" s="6">
        <f t="shared" si="21"/>
        <v>41.957435790634975</v>
      </c>
      <c r="G153" s="6">
        <f aca="true" t="shared" si="22" ref="G153:G162">D153/C153*100</f>
        <v>38.20237387507431</v>
      </c>
      <c r="H153" s="6">
        <f>B153-D153</f>
        <v>10311.9</v>
      </c>
      <c r="I153" s="6">
        <f aca="true" t="shared" si="23" ref="I153:I162">C153-D153</f>
        <v>12058.199999999999</v>
      </c>
      <c r="K153" s="46"/>
      <c r="L153" s="46"/>
    </row>
    <row r="154" spans="1:12" ht="18.75">
      <c r="A154" s="23" t="s">
        <v>22</v>
      </c>
      <c r="B154" s="88">
        <v>14268.9</v>
      </c>
      <c r="C154" s="67">
        <f>16860.5-195+353.2</f>
        <v>17018.7</v>
      </c>
      <c r="D154" s="67">
        <f>132.1+649.5+498.6+2.9+146.5+119.3+11.1+935+701.6+2.9+12.3-0.1+18.6+43.3+39.7+94+282.1+33.2+9</f>
        <v>3731.6</v>
      </c>
      <c r="E154" s="6"/>
      <c r="F154" s="6">
        <f t="shared" si="21"/>
        <v>26.151980881497522</v>
      </c>
      <c r="G154" s="6">
        <f t="shared" si="22"/>
        <v>21.926469119262926</v>
      </c>
      <c r="H154" s="6">
        <f aca="true" t="shared" si="24" ref="H154:H161">B154-D154</f>
        <v>10537.3</v>
      </c>
      <c r="I154" s="6">
        <f t="shared" si="23"/>
        <v>13287.1</v>
      </c>
      <c r="K154" s="46"/>
      <c r="L154" s="46"/>
    </row>
    <row r="155" spans="1:12" ht="18.75">
      <c r="A155" s="23" t="s">
        <v>60</v>
      </c>
      <c r="B155" s="88">
        <v>196197.7</v>
      </c>
      <c r="C155" s="67">
        <v>213607.5</v>
      </c>
      <c r="D155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</f>
        <v>33976.000000000015</v>
      </c>
      <c r="E155" s="6"/>
      <c r="F155" s="6">
        <f t="shared" si="21"/>
        <v>17.31722645066686</v>
      </c>
      <c r="G155" s="6">
        <f t="shared" si="22"/>
        <v>15.905808550729732</v>
      </c>
      <c r="H155" s="6">
        <f t="shared" si="24"/>
        <v>162221.7</v>
      </c>
      <c r="I155" s="6">
        <f t="shared" si="23"/>
        <v>179631.5</v>
      </c>
      <c r="K155" s="46"/>
      <c r="L155" s="46"/>
    </row>
    <row r="156" spans="1:12" ht="37.5">
      <c r="A156" s="23" t="s">
        <v>69</v>
      </c>
      <c r="B156" s="88">
        <v>409.4</v>
      </c>
      <c r="C156" s="67">
        <v>509.4</v>
      </c>
      <c r="D156" s="67">
        <f>309.4</f>
        <v>309.4</v>
      </c>
      <c r="E156" s="6"/>
      <c r="F156" s="6">
        <f t="shared" si="21"/>
        <v>75.57401074743527</v>
      </c>
      <c r="G156" s="6">
        <f t="shared" si="22"/>
        <v>60.73812328229289</v>
      </c>
      <c r="H156" s="6">
        <f t="shared" si="24"/>
        <v>100</v>
      </c>
      <c r="I156" s="6">
        <f t="shared" si="23"/>
        <v>200</v>
      </c>
      <c r="K156" s="46"/>
      <c r="L156" s="46"/>
    </row>
    <row r="157" spans="1:12" ht="18.75">
      <c r="A157" s="23" t="s">
        <v>13</v>
      </c>
      <c r="B157" s="88">
        <v>13310.4</v>
      </c>
      <c r="C157" s="67">
        <f>54+13623.4</f>
        <v>13677.4</v>
      </c>
      <c r="D157" s="67">
        <f>5.2+5.1+225.1+114.9+40.2+5.2+4.6+89.9+13.6+4.1+10.7+98.5+1634+39+1.7-40.2+1.3+4.6</f>
        <v>2257.5000000000005</v>
      </c>
      <c r="E157" s="19"/>
      <c r="F157" s="6">
        <f t="shared" si="21"/>
        <v>16.96042192571223</v>
      </c>
      <c r="G157" s="6">
        <f t="shared" si="22"/>
        <v>16.50532996037259</v>
      </c>
      <c r="H157" s="6">
        <f t="shared" si="24"/>
        <v>11052.9</v>
      </c>
      <c r="I157" s="6">
        <f t="shared" si="23"/>
        <v>11419.9</v>
      </c>
      <c r="K157" s="46"/>
      <c r="L157" s="46"/>
    </row>
    <row r="158" spans="1:12" ht="18.75" hidden="1">
      <c r="A158" s="23" t="s">
        <v>26</v>
      </c>
      <c r="B158" s="88"/>
      <c r="C158" s="67"/>
      <c r="D158" s="67"/>
      <c r="E158" s="19"/>
      <c r="F158" s="6" t="e">
        <f>D158/B158*100</f>
        <v>#DIV/0!</v>
      </c>
      <c r="G158" s="6" t="e">
        <f t="shared" si="22"/>
        <v>#DIV/0!</v>
      </c>
      <c r="H158" s="6">
        <f t="shared" si="24"/>
        <v>0</v>
      </c>
      <c r="I158" s="6">
        <f t="shared" si="23"/>
        <v>0</v>
      </c>
      <c r="K158" s="46"/>
      <c r="L158" s="46"/>
    </row>
    <row r="159" spans="1:9" ht="18.75">
      <c r="A159" s="23" t="s">
        <v>52</v>
      </c>
      <c r="B159" s="88">
        <v>1053.5</v>
      </c>
      <c r="C159" s="67">
        <f>1212+158.6</f>
        <v>1370.6</v>
      </c>
      <c r="D159" s="67">
        <f>15.4+25.9+416.9+18.7+17.6</f>
        <v>494.5</v>
      </c>
      <c r="E159" s="19"/>
      <c r="F159" s="6">
        <f>D159/B159*100</f>
        <v>46.93877551020408</v>
      </c>
      <c r="G159" s="6">
        <f t="shared" si="22"/>
        <v>36.079089449875966</v>
      </c>
      <c r="H159" s="6">
        <f t="shared" si="24"/>
        <v>559</v>
      </c>
      <c r="I159" s="6">
        <f t="shared" si="23"/>
        <v>876.0999999999999</v>
      </c>
    </row>
    <row r="160" spans="1:9" ht="19.5" customHeight="1">
      <c r="A160" s="23" t="s">
        <v>67</v>
      </c>
      <c r="B160" s="88">
        <v>307.6</v>
      </c>
      <c r="C160" s="67">
        <v>307.6</v>
      </c>
      <c r="D160" s="67"/>
      <c r="E160" s="19"/>
      <c r="F160" s="6">
        <f>D160/B160*100</f>
        <v>0</v>
      </c>
      <c r="G160" s="6">
        <f t="shared" si="22"/>
        <v>0</v>
      </c>
      <c r="H160" s="6">
        <f t="shared" si="24"/>
        <v>307.6</v>
      </c>
      <c r="I160" s="6">
        <f t="shared" si="23"/>
        <v>307.6</v>
      </c>
    </row>
    <row r="161" spans="1:9" ht="19.5" thickBot="1">
      <c r="A161" s="23" t="s">
        <v>61</v>
      </c>
      <c r="B161" s="88">
        <v>3718.8</v>
      </c>
      <c r="C161" s="89">
        <v>3718.8</v>
      </c>
      <c r="D161" s="89">
        <f>98.8+11.3+146.1+110.9-0.1+10.1+85.3+20.5+418+104.6+257.6+46.9+315.7+1.5+1.4+47.1+128.3+440+24.2+62.6+0.1+90.4+1.3+111.4+230.8+4.4+180+41.1</f>
        <v>2990.3</v>
      </c>
      <c r="E161" s="24"/>
      <c r="F161" s="6">
        <f>D161/B161*100</f>
        <v>80.41034742390019</v>
      </c>
      <c r="G161" s="6">
        <f t="shared" si="22"/>
        <v>80.41034742390019</v>
      </c>
      <c r="H161" s="6">
        <f t="shared" si="24"/>
        <v>728.5</v>
      </c>
      <c r="I161" s="6">
        <f t="shared" si="23"/>
        <v>728.5</v>
      </c>
    </row>
    <row r="162" spans="1:9" ht="19.5" thickBot="1">
      <c r="A162" s="14" t="s">
        <v>20</v>
      </c>
      <c r="B162" s="90">
        <f>B145+B153+B157+B158+B154+B161+B160+B155+B159+B156</f>
        <v>971977.2999999999</v>
      </c>
      <c r="C162" s="90">
        <f>C145+C153+C157+C158+C154+C161+C160+C155+C159+C156</f>
        <v>1238233.1</v>
      </c>
      <c r="D162" s="90">
        <f>D145+D153+D157+D158+D154+D161+D160+D155+D159+D156</f>
        <v>657085.9069999999</v>
      </c>
      <c r="E162" s="25"/>
      <c r="F162" s="3">
        <f>D162/B162*100</f>
        <v>67.6030095558816</v>
      </c>
      <c r="G162" s="3">
        <f t="shared" si="22"/>
        <v>53.0664143124586</v>
      </c>
      <c r="H162" s="3">
        <f>B162-D162</f>
        <v>314891.39300000004</v>
      </c>
      <c r="I162" s="3">
        <f t="shared" si="23"/>
        <v>581147.1930000002</v>
      </c>
    </row>
    <row r="163" spans="7:8" ht="12.75">
      <c r="G163" s="26"/>
      <c r="H163" s="26"/>
    </row>
    <row r="164" spans="7:9" ht="12.75">
      <c r="G164" s="26"/>
      <c r="H164" s="26"/>
      <c r="I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Q35" sqref="Q35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фінансування'!C145</f>
        <v>968510.7000000001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фінансування'!D145</f>
        <v>605872.4069999999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42" sqref="Q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7" sqref="Q3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5" sqref="K45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L45" sqref="L4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4" sqref="R2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фінансування'!C145</f>
        <v>968510.7000000001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фінансування'!D145</f>
        <v>605872.4069999999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2015-09-02T11:19:39Z</cp:lastPrinted>
  <dcterms:created xsi:type="dcterms:W3CDTF">2000-06-20T04:48:00Z</dcterms:created>
  <dcterms:modified xsi:type="dcterms:W3CDTF">2015-09-02T12:51:26Z</dcterms:modified>
  <cp:category/>
  <cp:version/>
  <cp:contentType/>
  <cp:contentStatus/>
</cp:coreProperties>
</file>